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heckCompatibility="1" autoCompressPictures="0"/>
  <bookViews>
    <workbookView xWindow="240" yWindow="240" windowWidth="25360" windowHeight="13940" tabRatio="500"/>
  </bookViews>
  <sheets>
    <sheet name="Hoja1" sheetId="1" r:id="rId1"/>
    <sheet name="Hoja2" sheetId="2" r:id="rId2"/>
  </sheets>
  <externalReferences>
    <externalReference r:id="rId3"/>
  </externalReferences>
  <definedNames>
    <definedName name="FiscalYear">'[1]Twelve Month Cash Flow MNx'!$P$1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8" i="1" l="1"/>
  <c r="O114" i="1"/>
  <c r="O113" i="1"/>
  <c r="O112" i="1"/>
  <c r="O111" i="1"/>
  <c r="O110" i="1"/>
  <c r="M110" i="1"/>
  <c r="O109" i="1"/>
  <c r="O108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B89" i="1"/>
  <c r="O88" i="1"/>
  <c r="O87" i="1"/>
  <c r="O86" i="1"/>
  <c r="O83" i="1"/>
  <c r="B82" i="1"/>
  <c r="B83" i="1"/>
  <c r="C81" i="1"/>
  <c r="C82" i="1"/>
  <c r="C83" i="1"/>
  <c r="D81" i="1"/>
  <c r="D82" i="1"/>
  <c r="D83" i="1"/>
  <c r="E81" i="1"/>
  <c r="E82" i="1"/>
  <c r="E83" i="1"/>
  <c r="F81" i="1"/>
  <c r="F82" i="1"/>
  <c r="F83" i="1"/>
  <c r="G81" i="1"/>
  <c r="G82" i="1"/>
  <c r="G83" i="1"/>
  <c r="H81" i="1"/>
  <c r="H82" i="1"/>
  <c r="H83" i="1"/>
  <c r="I81" i="1"/>
  <c r="I82" i="1"/>
  <c r="I83" i="1"/>
  <c r="J81" i="1"/>
  <c r="J82" i="1"/>
  <c r="J83" i="1"/>
  <c r="K81" i="1"/>
  <c r="K82" i="1"/>
  <c r="K83" i="1"/>
  <c r="L81" i="1"/>
  <c r="L82" i="1"/>
  <c r="L83" i="1"/>
  <c r="M81" i="1"/>
  <c r="M82" i="1"/>
  <c r="M83" i="1"/>
  <c r="N81" i="1"/>
  <c r="N82" i="1"/>
  <c r="N83" i="1"/>
  <c r="O82" i="1"/>
  <c r="O81" i="1"/>
  <c r="D78" i="1"/>
  <c r="E78" i="1"/>
  <c r="F78" i="1"/>
  <c r="G78" i="1"/>
  <c r="H78" i="1"/>
  <c r="I78" i="1"/>
  <c r="J78" i="1"/>
  <c r="K78" i="1"/>
  <c r="L78" i="1"/>
  <c r="M78" i="1"/>
  <c r="N78" i="1"/>
  <c r="B59" i="1"/>
  <c r="B49" i="1"/>
  <c r="B50" i="1"/>
  <c r="O42" i="1"/>
  <c r="Q42" i="1"/>
  <c r="R42" i="1"/>
  <c r="O41" i="1"/>
  <c r="Q41" i="1"/>
  <c r="R41" i="1"/>
  <c r="O40" i="1"/>
  <c r="Q40" i="1"/>
  <c r="R40" i="1"/>
  <c r="O39" i="1"/>
  <c r="Q39" i="1"/>
  <c r="R39" i="1"/>
  <c r="M38" i="1"/>
  <c r="O38" i="1"/>
  <c r="Q38" i="1"/>
  <c r="R38" i="1"/>
  <c r="O37" i="1"/>
  <c r="Q37" i="1"/>
  <c r="R37" i="1"/>
  <c r="O36" i="1"/>
  <c r="Q36" i="1"/>
  <c r="R36" i="1"/>
  <c r="R20" i="1"/>
  <c r="R21" i="1"/>
  <c r="R22" i="1"/>
  <c r="R23" i="1"/>
  <c r="R24" i="1"/>
  <c r="R26" i="1"/>
  <c r="R27" i="1"/>
  <c r="R28" i="1"/>
  <c r="C29" i="1"/>
  <c r="R29" i="1"/>
  <c r="R30" i="1"/>
  <c r="R31" i="1"/>
  <c r="R32" i="1"/>
  <c r="R33" i="1"/>
  <c r="Q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T32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B17" i="1"/>
  <c r="O16" i="1"/>
  <c r="O15" i="1"/>
  <c r="R14" i="1"/>
  <c r="O14" i="1"/>
  <c r="B10" i="1"/>
  <c r="B11" i="1"/>
  <c r="C9" i="1"/>
  <c r="C10" i="1"/>
  <c r="C11" i="1"/>
  <c r="D9" i="1"/>
  <c r="D10" i="1"/>
  <c r="D11" i="1"/>
  <c r="E9" i="1"/>
  <c r="E10" i="1"/>
  <c r="E11" i="1"/>
  <c r="F9" i="1"/>
  <c r="F10" i="1"/>
  <c r="F11" i="1"/>
  <c r="G9" i="1"/>
  <c r="G10" i="1"/>
  <c r="G11" i="1"/>
  <c r="H9" i="1"/>
  <c r="H10" i="1"/>
  <c r="H11" i="1"/>
  <c r="I9" i="1"/>
  <c r="I10" i="1"/>
  <c r="I11" i="1"/>
  <c r="J9" i="1"/>
  <c r="J10" i="1"/>
  <c r="J11" i="1"/>
  <c r="K9" i="1"/>
  <c r="K10" i="1"/>
  <c r="K11" i="1"/>
  <c r="L9" i="1"/>
  <c r="L10" i="1"/>
  <c r="L11" i="1"/>
  <c r="M9" i="1"/>
  <c r="M10" i="1"/>
  <c r="M11" i="1"/>
  <c r="N9" i="1"/>
  <c r="N10" i="1"/>
  <c r="N11" i="1"/>
  <c r="O11" i="1"/>
  <c r="O10" i="1"/>
  <c r="O9" i="1"/>
  <c r="C6" i="1"/>
  <c r="D6" i="1"/>
  <c r="E6" i="1"/>
  <c r="F6" i="1"/>
  <c r="G6" i="1"/>
  <c r="H6" i="1"/>
  <c r="I6" i="1"/>
  <c r="J6" i="1"/>
  <c r="K6" i="1"/>
  <c r="L6" i="1"/>
  <c r="M6" i="1"/>
  <c r="N6" i="1"/>
</calcChain>
</file>

<file path=xl/sharedStrings.xml><?xml version="1.0" encoding="utf-8"?>
<sst xmlns="http://schemas.openxmlformats.org/spreadsheetml/2006/main" count="100" uniqueCount="62">
  <si>
    <t>Flujo de efectivo de doce meses</t>
  </si>
  <si>
    <t>Comienzo ejercicio:</t>
  </si>
  <si>
    <t>COOPERATIVA PRIMERO DE MAYO/ MEXICO</t>
  </si>
  <si>
    <t>Comienzo</t>
  </si>
  <si>
    <t>Promedio mensual</t>
  </si>
  <si>
    <t>Resumen</t>
  </si>
  <si>
    <t>Resumen de efectivo</t>
  </si>
  <si>
    <r>
      <t>Efectivo en mano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(al comienzo del mes)</t>
    </r>
  </si>
  <si>
    <r>
      <t>Efectivo disponible</t>
    </r>
    <r>
      <rPr>
        <sz val="12"/>
        <color theme="1"/>
        <rFont val="Cambria"/>
        <family val="2"/>
        <scheme val="major"/>
      </rPr>
      <t xml:space="preserve"> </t>
    </r>
    <r>
      <rPr>
        <sz val="10"/>
        <color theme="1"/>
        <rFont val="Cambria"/>
        <family val="2"/>
        <scheme val="major"/>
      </rPr>
      <t xml:space="preserve">(en mano + cobros, antes de la salida de efectivo) </t>
    </r>
  </si>
  <si>
    <r>
      <t>Posición de efectivo</t>
    </r>
    <r>
      <rPr>
        <b/>
        <sz val="10"/>
        <color theme="1"/>
        <rFont val="Cambria"/>
        <family val="2"/>
        <scheme val="major"/>
      </rPr>
      <t xml:space="preserve"> </t>
    </r>
    <r>
      <rPr>
        <sz val="10"/>
        <color theme="1"/>
        <rFont val="Cambria"/>
        <family val="2"/>
        <scheme val="major"/>
      </rPr>
      <t>(fin de mes)</t>
    </r>
  </si>
  <si>
    <t>Cobros</t>
  </si>
  <si>
    <t>Cobro aportaciones (membresias)</t>
  </si>
  <si>
    <t>Aportaciones otras</t>
  </si>
  <si>
    <t>Donativos</t>
  </si>
  <si>
    <t>Cobros totales</t>
  </si>
  <si>
    <t>Efectivo pagado</t>
  </si>
  <si>
    <t>PENDIENTES</t>
  </si>
  <si>
    <t>EJERCIDO</t>
  </si>
  <si>
    <t>APORTACION F/P</t>
  </si>
  <si>
    <t>Compras (especificar)</t>
  </si>
  <si>
    <t>Sueldos brutos (retirada exacta)</t>
  </si>
  <si>
    <t>Suministros (oficina y oper.)</t>
  </si>
  <si>
    <t>Repraciones y mantenimiento</t>
  </si>
  <si>
    <t>Publicidad</t>
  </si>
  <si>
    <t>Aportaciones a otras organizaciones o MPL</t>
  </si>
  <si>
    <t>Servicios (teléfono)</t>
  </si>
  <si>
    <t>Otros (viáticos)</t>
  </si>
  <si>
    <t>Insumos para reuniones mensuales/otras(capacitación)</t>
  </si>
  <si>
    <t>Reunión face to face</t>
  </si>
  <si>
    <t>comisiones bancarias</t>
  </si>
  <si>
    <t>Impuestos</t>
  </si>
  <si>
    <t>renta de espacios para reuniones/eventos</t>
  </si>
  <si>
    <t>Efectivo pagado total</t>
  </si>
  <si>
    <t>Datos de operaciones esenciales (sin información del flujo de efectivo)</t>
  </si>
  <si>
    <t>Aportaciones de miembros (dólares)</t>
  </si>
  <si>
    <t>Cuentas por cobrar Depósito EU (F. RosaLux, CIMAC) USD aprox. (ENTRADA)</t>
  </si>
  <si>
    <t>Donativos (USD) (ENTRADA)</t>
  </si>
  <si>
    <t>Equipamiento</t>
  </si>
  <si>
    <t>APORTACION A EU (SALIDA) OCTUBRE 2015 MNX</t>
  </si>
  <si>
    <t>Amortización</t>
  </si>
  <si>
    <t>Pago rendimientos USD (JAIME) SALIDA)</t>
  </si>
  <si>
    <t>TOTAL PROGRAMADO 2015</t>
  </si>
  <si>
    <t>LA DIFERENCIA RADICA EN IMPUESTOS AHORRADOS</t>
  </si>
  <si>
    <t>DENTRO DE LOS $33,900 TENEMOS 14,200.00 PENDIENTES DE IMPUESTOS</t>
  </si>
  <si>
    <t>EJERCIDO A DICIEMBRE 2015 (DEBIO SER EJERCIDO)</t>
  </si>
  <si>
    <t>POR EJERCER A DICIEMBRE DE 2015</t>
  </si>
  <si>
    <t>EL REMANENTE ES $33,900.00 - $14,200.00 PENDIENTES PARA IMPUESTOS</t>
  </si>
  <si>
    <t>REALMENTE EJERCIDO A DICIEMBRE 2015</t>
  </si>
  <si>
    <t>REMANENTE REAL $19,700.00</t>
  </si>
  <si>
    <t>MNX</t>
  </si>
  <si>
    <t>APORTACION PRIMERO DE MAYO EU (FUERA DE PRESUP)</t>
  </si>
  <si>
    <t>REMANENTE DEL PRESUPUESTO</t>
  </si>
  <si>
    <t>MONTOS REGISTRADOS AL 31 DIC  2015</t>
  </si>
  <si>
    <t>FONDO DE RESERVA</t>
  </si>
  <si>
    <t>TOTAL REQUERIDO 2015/ 2 MESES 2016</t>
  </si>
  <si>
    <t>USD</t>
  </si>
  <si>
    <t>PUNTOS POR ABARCAR</t>
  </si>
  <si>
    <t>ESTRATEGIA FISCAL PARA PODER AJUSTARSE AL PRESUPUESTO PROGRAMADO.</t>
  </si>
  <si>
    <t>INSCRIPCIÓN EN EL IMSS PARA EVITAR LLAMAR LA ATENCION.</t>
  </si>
  <si>
    <t>APORTACION A 1 DE MAYO EU.</t>
  </si>
  <si>
    <t>BANORTE</t>
  </si>
  <si>
    <t>BANAMEX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</si>
</sst>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mm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mbria"/>
      <family val="2"/>
      <scheme val="major"/>
    </font>
    <font>
      <sz val="10"/>
      <color theme="1"/>
      <name val="Calibri"/>
      <family val="2"/>
      <scheme val="minor"/>
    </font>
    <font>
      <sz val="12"/>
      <color theme="1"/>
      <name val="Cambria"/>
      <family val="2"/>
      <scheme val="major"/>
    </font>
    <font>
      <sz val="10"/>
      <color theme="1"/>
      <name val="Cambria"/>
      <family val="2"/>
      <scheme val="major"/>
    </font>
    <font>
      <b/>
      <sz val="10"/>
      <color theme="1"/>
      <name val="Cambria"/>
      <family val="2"/>
      <scheme val="maj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87EC2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7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2" applyFill="1" applyAlignment="1"/>
    <xf numFmtId="0" fontId="2" fillId="0" borderId="0" xfId="2" applyFill="1"/>
    <xf numFmtId="0" fontId="2" fillId="0" borderId="0" xfId="2"/>
    <xf numFmtId="0" fontId="4" fillId="0" borderId="2" xfId="4" applyFill="1"/>
    <xf numFmtId="0" fontId="4" fillId="0" borderId="2" xfId="4" applyFill="1" applyAlignment="1">
      <alignment horizontal="right" vertical="center" wrapText="1"/>
    </xf>
    <xf numFmtId="17" fontId="4" fillId="0" borderId="2" xfId="4" applyNumberFormat="1" applyFill="1" applyAlignment="1">
      <alignment horizontal="center" vertical="center"/>
    </xf>
    <xf numFmtId="0" fontId="1" fillId="0" borderId="0" xfId="0" applyFont="1" applyFill="1" applyBorder="1"/>
    <xf numFmtId="0" fontId="7" fillId="2" borderId="0" xfId="5" applyBorder="1" applyAlignment="1">
      <alignment horizontal="left" vertical="center"/>
    </xf>
    <xf numFmtId="0" fontId="7" fillId="2" borderId="0" xfId="5" applyBorder="1"/>
    <xf numFmtId="0" fontId="7" fillId="2" borderId="0" xfId="5" applyBorder="1" applyAlignment="1">
      <alignment horizontal="right"/>
    </xf>
    <xf numFmtId="17" fontId="7" fillId="2" borderId="0" xfId="5" applyNumberFormat="1" applyBorder="1" applyAlignment="1">
      <alignment horizontal="center"/>
    </xf>
    <xf numFmtId="0" fontId="7" fillId="2" borderId="0" xfId="5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17" fontId="8" fillId="0" borderId="0" xfId="0" applyNumberFormat="1" applyFont="1" applyFill="1" applyBorder="1" applyAlignment="1">
      <alignment horizontal="center"/>
    </xf>
    <xf numFmtId="0" fontId="3" fillId="0" borderId="1" xfId="3" applyAlignment="1">
      <alignment horizontal="right"/>
    </xf>
    <xf numFmtId="17" fontId="3" fillId="0" borderId="1" xfId="3" applyNumberFormat="1" applyAlignment="1">
      <alignment horizontal="right"/>
    </xf>
    <xf numFmtId="164" fontId="3" fillId="0" borderId="1" xfId="3" applyNumberFormat="1" applyAlignment="1">
      <alignment horizontal="right" wrapText="1"/>
    </xf>
    <xf numFmtId="164" fontId="3" fillId="0" borderId="1" xfId="3" applyNumberForma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0" fontId="4" fillId="0" borderId="2" xfId="4"/>
    <xf numFmtId="38" fontId="1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44" fontId="1" fillId="0" borderId="0" xfId="1" applyFont="1" applyFill="1" applyBorder="1"/>
    <xf numFmtId="0" fontId="1" fillId="0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44" fontId="1" fillId="0" borderId="3" xfId="1" applyFont="1" applyFill="1" applyBorder="1"/>
    <xf numFmtId="0" fontId="0" fillId="0" borderId="0" xfId="0" applyFont="1" applyFill="1" applyBorder="1" applyAlignment="1">
      <alignment vertical="center"/>
    </xf>
    <xf numFmtId="38" fontId="1" fillId="0" borderId="0" xfId="0" applyNumberFormat="1" applyFont="1" applyFill="1" applyBorder="1"/>
    <xf numFmtId="0" fontId="0" fillId="0" borderId="0" xfId="0" applyFont="1" applyFill="1" applyBorder="1"/>
    <xf numFmtId="0" fontId="1" fillId="4" borderId="0" xfId="0" applyFont="1" applyFill="1" applyBorder="1"/>
    <xf numFmtId="0" fontId="0" fillId="4" borderId="0" xfId="0" applyFont="1" applyFill="1" applyBorder="1"/>
    <xf numFmtId="44" fontId="1" fillId="0" borderId="0" xfId="0" applyNumberFormat="1" applyFont="1" applyFill="1" applyBorder="1"/>
    <xf numFmtId="49" fontId="0" fillId="0" borderId="0" xfId="0" applyNumberFormat="1" applyFont="1" applyFill="1" applyBorder="1"/>
    <xf numFmtId="0" fontId="4" fillId="0" borderId="2" xfId="4" applyFill="1"/>
    <xf numFmtId="0" fontId="5" fillId="2" borderId="0" xfId="5" applyFont="1" applyBorder="1" applyAlignment="1">
      <alignment horizontal="left" vertical="center"/>
    </xf>
    <xf numFmtId="0" fontId="4" fillId="0" borderId="2" xfId="4" applyFill="1"/>
    <xf numFmtId="44" fontId="1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center"/>
    </xf>
    <xf numFmtId="44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4" fontId="1" fillId="4" borderId="0" xfId="1" applyFont="1" applyFill="1" applyBorder="1" applyAlignment="1">
      <alignment horizontal="center"/>
    </xf>
  </cellXfs>
  <cellStyles count="8">
    <cellStyle name="60% - Énfasis1" xfId="5" builtinId="32"/>
    <cellStyle name="Encabez. 2" xfId="3" builtinId="17"/>
    <cellStyle name="Encabezado 3" xfId="4" builtinId="18"/>
    <cellStyle name="Hipervínculo" xfId="6" builtinId="8" hidden="1"/>
    <cellStyle name="Hipervínculo visitado" xfId="7" builtinId="9" hidden="1"/>
    <cellStyle name="Moneda" xfId="1" builtinId="4"/>
    <cellStyle name="Normal" xfId="0" builtinId="0"/>
    <cellStyle name="Título" xfId="2" builtinId="15"/>
  </cellStyles>
  <dxfs count="2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1" tint="0.24994659260841701"/>
      </font>
      <border>
        <top style="thin">
          <color theme="4"/>
        </top>
        <bottom style="thin">
          <color theme="4"/>
        </bottom>
      </border>
    </dxf>
  </dxfs>
  <tableStyles count="1" defaultTableStyle="TableStyleMedium9" defaultPivotStyle="PivotStyleMedium4">
    <tableStyle name="Cash Flow Table" pivot="0" count="7">
      <tableStyleElement type="wholeTable" dxfId="211"/>
      <tableStyleElement type="headerRow" dxfId="210"/>
      <tableStyleElement type="totalRow" dxfId="209"/>
      <tableStyleElement type="firstColumn" dxfId="208"/>
      <tableStyleElement type="lastColumn" dxfId="207"/>
      <tableStyleElement type="firstRowStripe" dxfId="206"/>
      <tableStyleElement type="firstColumnStripe" dxfId="205"/>
    </tableStyle>
  </table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externalLink" Target="externalLinks/externalLink1.xml"/><Relationship Id="rId6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sebastiancontreras/Documents/SANDRA/MAYFIRST/2015/FLUJO%20DE%20EFECTIVO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welve Month Cash Flow MNx"/>
      <sheetName val="Twelve Month Cash Flow USD"/>
      <sheetName val="RESUMEN"/>
      <sheetName val="twelve Month Cash Flow Mnx DICI"/>
    </sheetNames>
    <sheetDataSet>
      <sheetData sheetId="0">
        <row r="1">
          <cell r="P1">
            <v>42005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Summary10" displayName="Summary10" ref="A9:Q11" headerRowCount="0" totalsRowShown="0" headerRowDxfId="198" dataDxfId="197">
  <tableColumns count="17">
    <tableColumn id="1" name="Column1" headerRowDxfId="196"/>
    <tableColumn id="2" name="Column2" headerRowDxfId="195" dataDxfId="194"/>
    <tableColumn id="3" name="Column3" headerRowDxfId="193" dataDxfId="192"/>
    <tableColumn id="4" name="Column4" headerRowDxfId="191" dataDxfId="190"/>
    <tableColumn id="5" name="Column5" headerRowDxfId="189" dataDxfId="188"/>
    <tableColumn id="6" name="Column6" headerRowDxfId="187" dataDxfId="186"/>
    <tableColumn id="7" name="Column7" headerRowDxfId="185" dataDxfId="184"/>
    <tableColumn id="8" name="Column8" headerRowDxfId="183" dataDxfId="182"/>
    <tableColumn id="9" name="Column9" headerRowDxfId="181" dataDxfId="180"/>
    <tableColumn id="10" name="Column10" headerRowDxfId="179" dataDxfId="178"/>
    <tableColumn id="11" name="Column11" headerRowDxfId="177" dataDxfId="176"/>
    <tableColumn id="12" name="Column12" headerRowDxfId="175" dataDxfId="174"/>
    <tableColumn id="13" name="Column13" headerRowDxfId="173" dataDxfId="172"/>
    <tableColumn id="14" name="Column14" headerRowDxfId="171" dataDxfId="170"/>
    <tableColumn id="15" name="Column15" headerRowDxfId="169" dataDxfId="168">
      <calculatedColumnFormula>IFERROR(AVERAGE(Summary10[[#This Row],[Column3]:[Column14]]),"")</calculatedColumnFormula>
    </tableColumn>
    <tableColumn id="16" name="Column16" headerRowDxfId="167" dataDxfId="166"/>
    <tableColumn id="17" name="Columna1" headerRowDxfId="165" dataDxfId="164">
      <calculatedColumnFormula>SUM(Summary10[[#This Row],[Column2]:[Column15]])</calculatedColumnFormula>
    </tableColumn>
  </tableColumns>
  <tableStyleInfo name="Cash Flow Table" showFirstColumn="0" showLastColumn="0" showRowStripes="1" showColumnStripes="0"/>
</table>
</file>

<file path=xl/tables/table2.xml><?xml version="1.0" encoding="utf-8"?>
<table xmlns="http://schemas.openxmlformats.org/spreadsheetml/2006/main" id="2" name="Receipts11" displayName="Receipts11" ref="A14:P17" headerRowCount="0" totalsRowCount="1">
  <tableColumns count="16">
    <tableColumn id="1" name="Column1" totalsRowLabel="Cobros totales" headerRowDxfId="163" totalsRowDxfId="162"/>
    <tableColumn id="2" name="Column2" totalsRowFunction="sum" headerRowDxfId="161" totalsRowDxfId="160"/>
    <tableColumn id="3" name="Column3" totalsRowFunction="sum" headerRowDxfId="159" totalsRowDxfId="158"/>
    <tableColumn id="4" name="Column4" totalsRowFunction="sum" headerRowDxfId="157" totalsRowDxfId="156"/>
    <tableColumn id="5" name="Column5" totalsRowFunction="sum" headerRowDxfId="155" totalsRowDxfId="154"/>
    <tableColumn id="6" name="Column6" totalsRowFunction="sum" headerRowDxfId="153" totalsRowDxfId="152"/>
    <tableColumn id="7" name="Column7" totalsRowFunction="sum" headerRowDxfId="151" totalsRowDxfId="150"/>
    <tableColumn id="8" name="Column8" totalsRowFunction="sum" headerRowDxfId="149" totalsRowDxfId="148"/>
    <tableColumn id="9" name="Column9" totalsRowFunction="sum" headerRowDxfId="147" totalsRowDxfId="146"/>
    <tableColumn id="10" name="Column10" totalsRowFunction="sum" headerRowDxfId="145" totalsRowDxfId="144"/>
    <tableColumn id="11" name="Column11" totalsRowFunction="sum" headerRowDxfId="143" totalsRowDxfId="142"/>
    <tableColumn id="12" name="Column12" totalsRowFunction="sum" headerRowDxfId="141" totalsRowDxfId="140"/>
    <tableColumn id="13" name="Column13" totalsRowFunction="sum" headerRowDxfId="139" totalsRowDxfId="138"/>
    <tableColumn id="14" name="Column14" totalsRowFunction="sum" headerRowDxfId="137" totalsRowDxfId="136"/>
    <tableColumn id="15" name="Column15" totalsRowFunction="custom" headerRowDxfId="135" totalsRowDxfId="134">
      <calculatedColumnFormula>IFERROR(AVERAGE(Receipts11[[#This Row],[Column3]:[Column14]]),"")</calculatedColumnFormula>
      <totalsRowFormula>IFERROR(AVERAGE(Receipts11[[#Totals],[Column3]:[Column14]]),"")</totalsRowFormula>
    </tableColumn>
    <tableColumn id="16" name="Column16" headerRowDxfId="133" totalsRowDxfId="132"/>
  </tableColumns>
  <tableStyleInfo name="Cash Flow Table" showFirstColumn="0" showLastColumn="0" showRowStripes="1" showColumnStripes="0"/>
</table>
</file>

<file path=xl/tables/table3.xml><?xml version="1.0" encoding="utf-8"?>
<table xmlns="http://schemas.openxmlformats.org/spreadsheetml/2006/main" id="3" name="PaidOut12" displayName="PaidOut12" ref="A20:P33" headerRowCount="0" totalsRowCount="1">
  <tableColumns count="16">
    <tableColumn id="1" name="Column1" totalsRowLabel="Efectivo pagado total" headerRowDxfId="131" totalsRowDxfId="130"/>
    <tableColumn id="2" name="Column2" headerRowDxfId="129" totalsRowDxfId="128"/>
    <tableColumn id="3" name="Column3" totalsRowFunction="sum" headerRowDxfId="127" totalsRowDxfId="126"/>
    <tableColumn id="4" name="Column4" totalsRowFunction="sum" headerRowDxfId="125" totalsRowDxfId="124"/>
    <tableColumn id="5" name="Column5" totalsRowFunction="sum" headerRowDxfId="123" totalsRowDxfId="122"/>
    <tableColumn id="6" name="Column6" totalsRowFunction="sum" headerRowDxfId="121" totalsRowDxfId="120"/>
    <tableColumn id="7" name="Column7" totalsRowFunction="sum" headerRowDxfId="119" totalsRowDxfId="118"/>
    <tableColumn id="8" name="Column8" totalsRowFunction="sum" headerRowDxfId="117" totalsRowDxfId="116"/>
    <tableColumn id="9" name="Column9" totalsRowFunction="sum" headerRowDxfId="115" totalsRowDxfId="114"/>
    <tableColumn id="10" name="Column10" totalsRowFunction="sum" headerRowDxfId="113" totalsRowDxfId="112"/>
    <tableColumn id="11" name="Column11" totalsRowFunction="sum" headerRowDxfId="111" totalsRowDxfId="110"/>
    <tableColumn id="12" name="Column12" totalsRowFunction="sum" headerRowDxfId="109" totalsRowDxfId="108"/>
    <tableColumn id="13" name="Column13" totalsRowFunction="sum" headerRowDxfId="107" totalsRowDxfId="106"/>
    <tableColumn id="14" name="Column14" totalsRowFunction="sum" headerRowDxfId="105" totalsRowDxfId="104"/>
    <tableColumn id="15" name="Column15" totalsRowFunction="custom" headerRowDxfId="103" dataDxfId="102" totalsRowDxfId="101">
      <calculatedColumnFormula>IFERROR(AVERAGE(PaidOut12[[#This Row],[Column3]:[Column14]]),"")</calculatedColumnFormula>
      <totalsRowFormula>IFERROR(AVERAGE(PaidOut12[[#Totals],[Column3]:[Column14]]),"")</totalsRowFormula>
    </tableColumn>
    <tableColumn id="16" name="Column16" headerRowDxfId="100" totalsRowDxfId="99"/>
  </tableColumns>
  <tableStyleInfo name="Cash Flow Table" showFirstColumn="0" showLastColumn="0" showRowStripes="1" showColumnStripes="0"/>
</table>
</file>

<file path=xl/tables/table4.xml><?xml version="1.0" encoding="utf-8"?>
<table xmlns="http://schemas.openxmlformats.org/spreadsheetml/2006/main" id="4" name="OpData13" displayName="OpData13" ref="A36:R42" headerRowCount="0" totalsRowShown="0">
  <tableColumns count="18">
    <tableColumn id="1" name="Column1" headerRowDxfId="98"/>
    <tableColumn id="2" name="Column2" headerRowDxfId="97"/>
    <tableColumn id="3" name="Column3" headerRowDxfId="96" dataDxfId="95"/>
    <tableColumn id="4" name="Column4" headerRowDxfId="94" dataDxfId="93"/>
    <tableColumn id="5" name="Column5" headerRowDxfId="92" dataDxfId="91"/>
    <tableColumn id="6" name="Column6" headerRowDxfId="90" dataDxfId="89"/>
    <tableColumn id="7" name="Column7" headerRowDxfId="88" dataDxfId="87"/>
    <tableColumn id="8" name="Column8" headerRowDxfId="86" dataDxfId="85"/>
    <tableColumn id="9" name="Column9" headerRowDxfId="84" dataDxfId="83"/>
    <tableColumn id="10" name="Column10" headerRowDxfId="82" dataDxfId="81"/>
    <tableColumn id="11" name="Column11" headerRowDxfId="80" dataDxfId="79"/>
    <tableColumn id="12" name="Column12" headerRowDxfId="78" dataDxfId="77"/>
    <tableColumn id="13" name="Column13" headerRowDxfId="76" dataDxfId="75"/>
    <tableColumn id="14" name="Column14" headerRowDxfId="74" dataDxfId="73"/>
    <tableColumn id="15" name="Column15" headerRowDxfId="72" dataDxfId="71">
      <calculatedColumnFormula>IFERROR(AVERAGE(OpData13[[#This Row],[Column3]:[Column14]]),"")</calculatedColumnFormula>
    </tableColumn>
    <tableColumn id="16" name="Column16" headerRowDxfId="70" dataDxfId="69"/>
    <tableColumn id="17" name="Columna1" headerRowDxfId="68" dataDxfId="67">
      <calculatedColumnFormula>SUM(OpData13[[#This Row],[Column3]:[Column16]])</calculatedColumnFormula>
    </tableColumn>
    <tableColumn id="18" name="Columna2" headerRowDxfId="66" dataDxfId="65">
      <calculatedColumnFormula>(Q36*14.7)</calculatedColumnFormula>
    </tableColumn>
  </tableColumns>
  <tableStyleInfo name="Cash Flow Table" showFirstColumn="0" showLastColumn="0" showRowStripes="1" showColumnStripes="0"/>
</table>
</file>

<file path=xl/tables/table5.xml><?xml version="1.0" encoding="utf-8"?>
<table xmlns="http://schemas.openxmlformats.org/spreadsheetml/2006/main" id="5" name="Receipts116" displayName="Receipts116" ref="A86:P89" headerRowCount="0" totalsRowCount="1">
  <tableColumns count="16">
    <tableColumn id="1" name="Column1" totalsRowLabel="Cobros totales" headerRowDxfId="64" totalsRowDxfId="63"/>
    <tableColumn id="2" name="Column2" totalsRowFunction="sum" headerRowDxfId="62" totalsRowDxfId="61"/>
    <tableColumn id="3" name="Column3" totalsRowFunction="sum" headerRowDxfId="60" totalsRowDxfId="59"/>
    <tableColumn id="4" name="Column4" totalsRowFunction="sum" headerRowDxfId="58" totalsRowDxfId="57"/>
    <tableColumn id="5" name="Column5" totalsRowFunction="sum" headerRowDxfId="56" totalsRowDxfId="55"/>
    <tableColumn id="6" name="Column6" totalsRowFunction="sum" headerRowDxfId="54" totalsRowDxfId="53"/>
    <tableColumn id="7" name="Column7" totalsRowFunction="sum" headerRowDxfId="52" totalsRowDxfId="51"/>
    <tableColumn id="8" name="Column8" totalsRowFunction="sum" headerRowDxfId="50" totalsRowDxfId="49"/>
    <tableColumn id="9" name="Column9" totalsRowFunction="sum" headerRowDxfId="48" totalsRowDxfId="47"/>
    <tableColumn id="10" name="Column10" totalsRowFunction="sum" headerRowDxfId="46" totalsRowDxfId="45"/>
    <tableColumn id="11" name="Column11" totalsRowFunction="sum" headerRowDxfId="44" totalsRowDxfId="43"/>
    <tableColumn id="12" name="Column12" totalsRowFunction="sum" headerRowDxfId="42" totalsRowDxfId="41"/>
    <tableColumn id="13" name="Column13" totalsRowFunction="sum" headerRowDxfId="40" totalsRowDxfId="39"/>
    <tableColumn id="14" name="Column14" totalsRowFunction="sum" headerRowDxfId="38" totalsRowDxfId="37"/>
    <tableColumn id="15" name="Column15" totalsRowFunction="custom" headerRowDxfId="36" totalsRowDxfId="35">
      <calculatedColumnFormula>IFERROR(AVERAGE(Receipts116[[#This Row],[Column3]:[Column14]]),"")</calculatedColumnFormula>
      <totalsRowFormula>IFERROR(AVERAGE(Receipts116[[#Totals],[Column3]:[Column14]]),"")</totalsRowFormula>
    </tableColumn>
    <tableColumn id="16" name="Column16" headerRowDxfId="34" totalsRowDxfId="33"/>
  </tableColumns>
  <tableStyleInfo name="Cash Flow Table" showFirstColumn="0" showLastColumn="0" showRowStripes="1" showColumnStripes="0"/>
</table>
</file>

<file path=xl/tables/table6.xml><?xml version="1.0" encoding="utf-8"?>
<table xmlns="http://schemas.openxmlformats.org/spreadsheetml/2006/main" id="6" name="PaidOut127" displayName="PaidOut127" ref="A92:P105" headerRowCount="0" totalsRowCount="1">
  <tableColumns count="16">
    <tableColumn id="1" name="Column1" totalsRowLabel="Efectivo pagado total" headerRowDxfId="32" totalsRowDxfId="31"/>
    <tableColumn id="2" name="Column2" headerRowDxfId="30" totalsRowDxfId="29"/>
    <tableColumn id="3" name="Column3" totalsRowFunction="sum" headerRowDxfId="28" totalsRowDxfId="27"/>
    <tableColumn id="4" name="Column4" totalsRowFunction="sum" headerRowDxfId="26" totalsRowDxfId="25"/>
    <tableColumn id="5" name="Column5" totalsRowFunction="sum" headerRowDxfId="24" totalsRowDxfId="23"/>
    <tableColumn id="6" name="Column6" totalsRowFunction="sum" headerRowDxfId="22" totalsRowDxfId="21"/>
    <tableColumn id="7" name="Column7" totalsRowFunction="sum" headerRowDxfId="20" totalsRowDxfId="19"/>
    <tableColumn id="8" name="Column8" totalsRowFunction="sum" headerRowDxfId="18" totalsRowDxfId="17"/>
    <tableColumn id="9" name="Column9" totalsRowFunction="sum" headerRowDxfId="16" totalsRowDxfId="15"/>
    <tableColumn id="10" name="Column10" totalsRowFunction="sum" headerRowDxfId="14" totalsRowDxfId="13"/>
    <tableColumn id="11" name="Column11" totalsRowFunction="sum" headerRowDxfId="12" totalsRowDxfId="11"/>
    <tableColumn id="12" name="Column12" totalsRowFunction="sum" headerRowDxfId="10" totalsRowDxfId="9"/>
    <tableColumn id="13" name="Column13" totalsRowFunction="sum" headerRowDxfId="8" totalsRowDxfId="7"/>
    <tableColumn id="14" name="Column14" totalsRowFunction="sum" headerRowDxfId="6" totalsRowDxfId="5"/>
    <tableColumn id="15" name="Column15" totalsRowFunction="custom" headerRowDxfId="4" dataDxfId="3" totalsRowDxfId="2">
      <calculatedColumnFormula>IFERROR(AVERAGE(PaidOut127[[#This Row],[Column3]:[Column14]]),"")</calculatedColumnFormula>
      <totalsRowFormula>IFERROR(AVERAGE(PaidOut127[[#Totals],[Column3]:[Column14]]),"")</totalsRowFormula>
    </tableColumn>
    <tableColumn id="16" name="Column16" headerRowDxfId="1" totalsRowDxfId="0"/>
  </tableColumns>
  <tableStyleInfo name="Cash Flow Table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table" Target="../tables/table6.xml"/><Relationship Id="rId4" Type="http://schemas.openxmlformats.org/officeDocument/2006/relationships/table" Target="../tables/table4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Relationship Id="rId5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tabSelected="1" topLeftCell="A90" workbookViewId="0">
      <selection activeCell="O114" sqref="O114"/>
    </sheetView>
  </sheetViews>
  <sheetFormatPr baseColWidth="10" defaultColWidth="10.1640625" defaultRowHeight="15" x14ac:dyDescent="0"/>
  <cols>
    <col min="1" max="1" width="53.6640625" style="7" bestFit="1" customWidth="1"/>
    <col min="2" max="2" width="9.1640625" style="7" customWidth="1"/>
    <col min="3" max="3" width="13.33203125" style="7" customWidth="1"/>
    <col min="4" max="4" width="9.1640625" style="7" customWidth="1"/>
    <col min="5" max="5" width="13" style="7" customWidth="1"/>
    <col min="6" max="14" width="9.1640625" style="7" customWidth="1"/>
    <col min="15" max="15" width="18.1640625" style="7" customWidth="1"/>
    <col min="16" max="16" width="16.5" style="7" customWidth="1"/>
    <col min="17" max="17" width="13.6640625" style="7" customWidth="1"/>
    <col min="18" max="18" width="14.1640625" style="7" customWidth="1"/>
    <col min="19" max="19" width="12.83203125" style="7" bestFit="1" customWidth="1"/>
    <col min="20" max="20" width="14" style="7" bestFit="1" customWidth="1"/>
    <col min="21" max="16384" width="10.1640625" style="7"/>
  </cols>
  <sheetData>
    <row r="1" spans="1:18" ht="23" thickBot="1">
      <c r="A1" s="1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3"/>
      <c r="N1" s="4"/>
      <c r="O1" s="5" t="s">
        <v>1</v>
      </c>
      <c r="P1" s="6">
        <v>42005</v>
      </c>
    </row>
    <row r="2" spans="1:18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8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/>
      <c r="P3" s="11"/>
    </row>
    <row r="4" spans="1:18">
      <c r="A4" s="1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10"/>
      <c r="P4" s="11"/>
    </row>
    <row r="5" spans="1:18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O5" s="15"/>
      <c r="P5" s="16"/>
    </row>
    <row r="6" spans="1:18" ht="17" thickBot="1">
      <c r="A6" s="17"/>
      <c r="B6" s="17" t="s">
        <v>3</v>
      </c>
      <c r="C6" s="18">
        <f>FiscalYear</f>
        <v>42005</v>
      </c>
      <c r="D6" s="18">
        <f>DATE(YEAR(C6),MONTH(C6)+1,1)</f>
        <v>42036</v>
      </c>
      <c r="E6" s="18">
        <f t="shared" ref="E6:N6" si="0">DATE(YEAR(D6),MONTH(D6)+1,1)</f>
        <v>42064</v>
      </c>
      <c r="F6" s="18">
        <f t="shared" si="0"/>
        <v>42095</v>
      </c>
      <c r="G6" s="18">
        <f t="shared" si="0"/>
        <v>42125</v>
      </c>
      <c r="H6" s="18">
        <f t="shared" si="0"/>
        <v>42156</v>
      </c>
      <c r="I6" s="18">
        <f t="shared" si="0"/>
        <v>42186</v>
      </c>
      <c r="J6" s="18">
        <f t="shared" si="0"/>
        <v>42217</v>
      </c>
      <c r="K6" s="18">
        <f t="shared" si="0"/>
        <v>42248</v>
      </c>
      <c r="L6" s="18">
        <f t="shared" si="0"/>
        <v>42278</v>
      </c>
      <c r="M6" s="18">
        <f t="shared" si="0"/>
        <v>42309</v>
      </c>
      <c r="N6" s="18">
        <f t="shared" si="0"/>
        <v>42339</v>
      </c>
      <c r="O6" s="19" t="s">
        <v>4</v>
      </c>
      <c r="P6" s="20" t="s">
        <v>5</v>
      </c>
    </row>
    <row r="7" spans="1:18" ht="16" thickTop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8" ht="16" thickBot="1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8">
      <c r="A9" s="21" t="s">
        <v>7</v>
      </c>
      <c r="B9" s="24">
        <v>81995.039999999994</v>
      </c>
      <c r="C9" s="24">
        <f t="shared" ref="C9:N9" si="1">B11</f>
        <v>81995.039999999994</v>
      </c>
      <c r="D9" s="24">
        <f t="shared" si="1"/>
        <v>92165.04</v>
      </c>
      <c r="E9" s="24">
        <f t="shared" si="1"/>
        <v>94075.04</v>
      </c>
      <c r="F9" s="24">
        <f t="shared" si="1"/>
        <v>89425.04</v>
      </c>
      <c r="G9" s="24">
        <f t="shared" si="1"/>
        <v>89695.039999999994</v>
      </c>
      <c r="H9" s="24">
        <f t="shared" si="1"/>
        <v>93694.17</v>
      </c>
      <c r="I9" s="24">
        <f t="shared" si="1"/>
        <v>95604.17</v>
      </c>
      <c r="J9" s="24">
        <f t="shared" si="1"/>
        <v>92594.17</v>
      </c>
      <c r="K9" s="24">
        <f t="shared" si="1"/>
        <v>87944.17</v>
      </c>
      <c r="L9" s="24">
        <f t="shared" si="1"/>
        <v>92022.5</v>
      </c>
      <c r="M9" s="24">
        <f t="shared" si="1"/>
        <v>56132.5</v>
      </c>
      <c r="N9" s="24">
        <f t="shared" si="1"/>
        <v>65230.8</v>
      </c>
      <c r="O9" s="24">
        <f>IFERROR(AVERAGE(Summary10[[#This Row],[Column3]:[Column14]]),"")</f>
        <v>85881.473333333342</v>
      </c>
      <c r="P9" s="22"/>
      <c r="Q9" s="25"/>
    </row>
    <row r="10" spans="1:18" ht="28">
      <c r="A10" s="26" t="s">
        <v>8</v>
      </c>
      <c r="B10" s="24">
        <f>SUM(B9,Receipts11[[#Totals],[Column2]])</f>
        <v>81995.039999999994</v>
      </c>
      <c r="C10" s="24">
        <f>SUM(C9,Receipts11[[#Totals],[Column3]])</f>
        <v>105811.04</v>
      </c>
      <c r="D10" s="24">
        <f>SUM(D9,Receipts11[[#Totals],[Column4]])</f>
        <v>98725.04</v>
      </c>
      <c r="E10" s="24">
        <f>SUM(E9,Receipts11[[#Totals],[Column5]])</f>
        <v>94075.04</v>
      </c>
      <c r="F10" s="24">
        <f>SUM(F9,Receipts11[[#Totals],[Column6]])</f>
        <v>94345.04</v>
      </c>
      <c r="G10" s="24">
        <f>SUM(G9,Receipts11[[#Totals],[Column7]])</f>
        <v>98344.17</v>
      </c>
      <c r="H10" s="24">
        <f>SUM(H9,Receipts11[[#Totals],[Column8]])</f>
        <v>100254.17</v>
      </c>
      <c r="I10" s="24">
        <f>SUM(I9,Receipts11[[#Totals],[Column9]])</f>
        <v>97244.17</v>
      </c>
      <c r="J10" s="24">
        <f>SUM(J9,Receipts11[[#Totals],[Column10]])</f>
        <v>92594.17</v>
      </c>
      <c r="K10" s="24">
        <f>SUM(K9,Receipts11[[#Totals],[Column11]])</f>
        <v>96672.5</v>
      </c>
      <c r="L10" s="24">
        <f>SUM(L9,Receipts11[[#Totals],[Column12]])</f>
        <v>105482.5</v>
      </c>
      <c r="M10" s="24">
        <f>SUM(M9,Receipts11[[#Totals],[Column13]])</f>
        <v>69880.800000000003</v>
      </c>
      <c r="N10" s="24">
        <f>SUM(N9,Receipts11[[#Totals],[Column14]])</f>
        <v>66050.8</v>
      </c>
      <c r="O10" s="24">
        <f>IFERROR(AVERAGE(Summary10[[#This Row],[Column3]:[Column14]]),"")</f>
        <v>93289.953333333353</v>
      </c>
      <c r="P10" s="22"/>
      <c r="Q10" s="25"/>
    </row>
    <row r="11" spans="1:18">
      <c r="A11" s="26" t="s">
        <v>9</v>
      </c>
      <c r="B11" s="24">
        <f>(B10-PaidOut12[[#Totals],[Column2]])</f>
        <v>81995.039999999994</v>
      </c>
      <c r="C11" s="24">
        <f>(C10-PaidOut12[[#Totals],[Column3]])</f>
        <v>92165.04</v>
      </c>
      <c r="D11" s="24">
        <f>(D10-PaidOut12[[#Totals],[Column4]])</f>
        <v>94075.04</v>
      </c>
      <c r="E11" s="24">
        <f>(E10-PaidOut12[[#Totals],[Column5]])</f>
        <v>89425.04</v>
      </c>
      <c r="F11" s="24">
        <f>(F10-PaidOut12[[#Totals],[Column6]])</f>
        <v>89695.039999999994</v>
      </c>
      <c r="G11" s="24">
        <f>(G10-PaidOut12[[#Totals],[Column7]])</f>
        <v>93694.17</v>
      </c>
      <c r="H11" s="24">
        <f>(H10-PaidOut12[[#Totals],[Column8]])</f>
        <v>95604.17</v>
      </c>
      <c r="I11" s="24">
        <f>(I10-PaidOut12[[#Totals],[Column9]])</f>
        <v>92594.17</v>
      </c>
      <c r="J11" s="24">
        <f>(J10-PaidOut12[[#Totals],[Column10]])</f>
        <v>87944.17</v>
      </c>
      <c r="K11" s="24">
        <f>(K10-PaidOut12[[#Totals],[Column11]])</f>
        <v>92022.5</v>
      </c>
      <c r="L11" s="24">
        <f>(L10-PaidOut12[[#Totals],[Column12]])</f>
        <v>56132.5</v>
      </c>
      <c r="M11" s="24">
        <f>(M10-PaidOut12[[#Totals],[Column13]])</f>
        <v>65230.8</v>
      </c>
      <c r="N11" s="24">
        <f>(N10-PaidOut12[[#Totals],[Column14]])</f>
        <v>53750.8</v>
      </c>
      <c r="O11" s="24">
        <f>IFERROR(AVERAGE(Summary10[[#This Row],[Column3]:[Column14]]),"")</f>
        <v>83527.786666666681</v>
      </c>
      <c r="P11" s="22"/>
      <c r="Q11" s="25"/>
    </row>
    <row r="12" spans="1:18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8" ht="16" thickBot="1">
      <c r="A13" s="23" t="s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8">
      <c r="A14" s="27" t="s">
        <v>11</v>
      </c>
      <c r="B14" s="25">
        <v>0</v>
      </c>
      <c r="C14" s="25">
        <v>23816</v>
      </c>
      <c r="D14" s="25">
        <v>6560</v>
      </c>
      <c r="E14" s="25">
        <v>0</v>
      </c>
      <c r="F14" s="25">
        <v>4920</v>
      </c>
      <c r="G14" s="25">
        <v>8649.1299999999992</v>
      </c>
      <c r="H14" s="25">
        <v>6560</v>
      </c>
      <c r="I14" s="25">
        <v>1640</v>
      </c>
      <c r="J14" s="25">
        <v>0</v>
      </c>
      <c r="K14" s="25">
        <v>8728.33</v>
      </c>
      <c r="L14" s="25">
        <v>1640</v>
      </c>
      <c r="M14" s="25">
        <v>13748.3</v>
      </c>
      <c r="N14" s="25">
        <v>820</v>
      </c>
      <c r="O14" s="25">
        <f>IFERROR(AVERAGE(Receipts11[[#This Row],[Column3]:[Column14]]),"")</f>
        <v>6423.48</v>
      </c>
      <c r="P14" s="28"/>
      <c r="R14" s="29">
        <f>SUM(Receipts11[[#This Row],[Column3]:[Column14]])</f>
        <v>77081.759999999995</v>
      </c>
    </row>
    <row r="15" spans="1:18">
      <c r="A15" s="27" t="s">
        <v>12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/>
      <c r="I15" s="25"/>
      <c r="J15" s="25"/>
      <c r="K15" s="25"/>
      <c r="L15" s="25">
        <v>820</v>
      </c>
      <c r="M15" s="25"/>
      <c r="N15" s="25"/>
      <c r="O15" s="25">
        <f>IFERROR(AVERAGE(Receipts11[[#This Row],[Column3]:[Column14]]),"")</f>
        <v>136.66666666666666</v>
      </c>
      <c r="P15" s="28"/>
    </row>
    <row r="16" spans="1:18">
      <c r="A16" s="27" t="s">
        <v>13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/>
      <c r="I16" s="25"/>
      <c r="J16" s="25"/>
      <c r="K16" s="25"/>
      <c r="L16" s="25">
        <v>11000</v>
      </c>
      <c r="M16" s="25"/>
      <c r="N16" s="25"/>
      <c r="O16" s="25">
        <f>IFERROR(AVERAGE(Receipts11[[#This Row],[Column3]:[Column14]]),"")</f>
        <v>1833.3333333333333</v>
      </c>
      <c r="P16" s="28"/>
    </row>
    <row r="17" spans="1:20">
      <c r="A17" s="27" t="s">
        <v>14</v>
      </c>
      <c r="B17" s="25">
        <f>SUBTOTAL(109,Receipts11[Column2])</f>
        <v>0</v>
      </c>
      <c r="C17" s="25">
        <f>SUBTOTAL(109,Receipts11[Column3])</f>
        <v>23816</v>
      </c>
      <c r="D17" s="25">
        <f>SUBTOTAL(109,Receipts11[Column4])</f>
        <v>6560</v>
      </c>
      <c r="E17" s="25">
        <f>SUBTOTAL(109,Receipts11[Column5])</f>
        <v>0</v>
      </c>
      <c r="F17" s="25">
        <f>SUBTOTAL(109,Receipts11[Column6])</f>
        <v>4920</v>
      </c>
      <c r="G17" s="25">
        <f>SUBTOTAL(109,Receipts11[Column7])</f>
        <v>8649.1299999999992</v>
      </c>
      <c r="H17" s="25">
        <f>SUBTOTAL(109,Receipts11[Column8])</f>
        <v>6560</v>
      </c>
      <c r="I17" s="25">
        <f>SUBTOTAL(109,Receipts11[Column9])</f>
        <v>1640</v>
      </c>
      <c r="J17" s="25">
        <f>SUBTOTAL(109,Receipts11[Column10])</f>
        <v>0</v>
      </c>
      <c r="K17" s="25">
        <f>SUBTOTAL(109,Receipts11[Column11])</f>
        <v>8728.33</v>
      </c>
      <c r="L17" s="25">
        <f>SUBTOTAL(109,Receipts11[Column12])</f>
        <v>13460</v>
      </c>
      <c r="M17" s="25">
        <f>SUBTOTAL(109,Receipts11[Column13])</f>
        <v>13748.3</v>
      </c>
      <c r="N17" s="25">
        <f>SUBTOTAL(109,Receipts11[Column14])</f>
        <v>820</v>
      </c>
      <c r="O17" s="25">
        <f>IFERROR(AVERAGE(Receipts11[[#Totals],[Column3]:[Column14]]),"")</f>
        <v>7408.48</v>
      </c>
      <c r="P17" s="28"/>
    </row>
    <row r="18" spans="1:20">
      <c r="A18" s="30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20" ht="16" thickBot="1">
      <c r="A19" s="23" t="s">
        <v>15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31" t="s">
        <v>16</v>
      </c>
      <c r="R19" s="31" t="s">
        <v>17</v>
      </c>
      <c r="S19" s="32" t="s">
        <v>18</v>
      </c>
    </row>
    <row r="20" spans="1:20">
      <c r="A20" s="27" t="s">
        <v>19</v>
      </c>
      <c r="B20" s="25"/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f>IFERROR(AVERAGE(PaidOut12[[#This Row],[Column3]:[Column14]]),"")</f>
        <v>0</v>
      </c>
      <c r="P20" s="28"/>
      <c r="Q20" s="29"/>
      <c r="R20" s="29">
        <f>SUM(C20:N20)</f>
        <v>0</v>
      </c>
    </row>
    <row r="21" spans="1:20">
      <c r="A21" s="27" t="s">
        <v>20</v>
      </c>
      <c r="B21" s="25"/>
      <c r="C21" s="25">
        <v>3850</v>
      </c>
      <c r="D21" s="25">
        <v>3850</v>
      </c>
      <c r="E21" s="25">
        <v>3850</v>
      </c>
      <c r="F21" s="25">
        <v>3850</v>
      </c>
      <c r="G21" s="25">
        <v>3850</v>
      </c>
      <c r="H21" s="25">
        <v>3850</v>
      </c>
      <c r="I21" s="25">
        <v>3850</v>
      </c>
      <c r="J21" s="25">
        <v>3850</v>
      </c>
      <c r="K21" s="25">
        <v>3850</v>
      </c>
      <c r="L21" s="25">
        <v>3850</v>
      </c>
      <c r="M21" s="25">
        <v>3850</v>
      </c>
      <c r="N21" s="25">
        <v>4700</v>
      </c>
      <c r="O21" s="25">
        <f>IFERROR(AVERAGE(PaidOut12[[#This Row],[Column3]:[Column14]]),"")</f>
        <v>3920.8333333333335</v>
      </c>
      <c r="P21" s="28"/>
      <c r="Q21" s="29"/>
      <c r="R21" s="29">
        <f t="shared" ref="R21:R32" si="2">SUM(C21:N21)</f>
        <v>47050</v>
      </c>
    </row>
    <row r="22" spans="1:20">
      <c r="A22" s="27" t="s">
        <v>21</v>
      </c>
      <c r="B22" s="25"/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f>IFERROR(AVERAGE(PaidOut12[[#This Row],[Column3]:[Column14]]),"")</f>
        <v>0</v>
      </c>
      <c r="P22" s="28"/>
      <c r="Q22" s="29">
        <v>1400</v>
      </c>
      <c r="R22" s="29">
        <f t="shared" si="2"/>
        <v>0</v>
      </c>
    </row>
    <row r="23" spans="1:20">
      <c r="A23" s="27" t="s">
        <v>22</v>
      </c>
      <c r="B23" s="25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f>IFERROR(AVERAGE(PaidOut12[[#This Row],[Column3]:[Column14]]),"")</f>
        <v>0</v>
      </c>
      <c r="P23" s="28"/>
      <c r="Q23" s="29"/>
      <c r="R23" s="29">
        <f t="shared" si="2"/>
        <v>0</v>
      </c>
    </row>
    <row r="24" spans="1:20">
      <c r="A24" s="27" t="s">
        <v>23</v>
      </c>
      <c r="B24" s="25"/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f>IFERROR(AVERAGE(PaidOut12[[#This Row],[Column3]:[Column14]]),"")</f>
        <v>0</v>
      </c>
      <c r="P24" s="28"/>
      <c r="Q24" s="29">
        <v>3300</v>
      </c>
      <c r="R24" s="29">
        <f t="shared" si="2"/>
        <v>0</v>
      </c>
    </row>
    <row r="25" spans="1:20">
      <c r="A25" s="27" t="s">
        <v>24</v>
      </c>
      <c r="B25" s="25"/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44700</v>
      </c>
      <c r="M25" s="25">
        <v>0</v>
      </c>
      <c r="N25" s="25">
        <v>0</v>
      </c>
      <c r="O25" s="25">
        <f>IFERROR(AVERAGE(PaidOut12[[#This Row],[Column3]:[Column14]]),"")</f>
        <v>3725</v>
      </c>
      <c r="P25" s="28"/>
      <c r="Q25" s="29"/>
      <c r="R25" s="29">
        <v>0</v>
      </c>
      <c r="S25" s="29">
        <v>44700</v>
      </c>
    </row>
    <row r="26" spans="1:20">
      <c r="A26" s="27" t="s">
        <v>25</v>
      </c>
      <c r="B26" s="25"/>
      <c r="C26" s="25">
        <v>300</v>
      </c>
      <c r="D26" s="25">
        <v>300</v>
      </c>
      <c r="E26" s="25">
        <v>300</v>
      </c>
      <c r="F26" s="25">
        <v>300</v>
      </c>
      <c r="G26" s="25">
        <v>300</v>
      </c>
      <c r="H26" s="25">
        <v>300</v>
      </c>
      <c r="I26" s="25">
        <v>300</v>
      </c>
      <c r="J26" s="25">
        <v>300</v>
      </c>
      <c r="K26" s="25">
        <v>300</v>
      </c>
      <c r="L26" s="25">
        <v>300</v>
      </c>
      <c r="M26" s="25">
        <v>300</v>
      </c>
      <c r="N26" s="25">
        <v>300</v>
      </c>
      <c r="O26" s="25">
        <f>IFERROR(AVERAGE(PaidOut12[[#This Row],[Column3]:[Column14]]),"")</f>
        <v>300</v>
      </c>
      <c r="P26" s="28"/>
      <c r="Q26" s="29"/>
      <c r="R26" s="29">
        <f t="shared" si="2"/>
        <v>3600</v>
      </c>
    </row>
    <row r="27" spans="1:20">
      <c r="A27" s="27" t="s">
        <v>26</v>
      </c>
      <c r="B27" s="25"/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f>IFERROR(AVERAGE(PaidOut12[[#This Row],[Column3]:[Column14]]),"")</f>
        <v>0</v>
      </c>
      <c r="P27" s="28"/>
      <c r="Q27" s="29">
        <v>5000</v>
      </c>
      <c r="R27" s="29">
        <f t="shared" si="2"/>
        <v>0</v>
      </c>
    </row>
    <row r="28" spans="1:20">
      <c r="A28" s="27" t="s">
        <v>27</v>
      </c>
      <c r="B28" s="25"/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f>IFERROR(AVERAGE(PaidOut12[[#This Row],[Column3]:[Column14]]),"")</f>
        <v>0</v>
      </c>
      <c r="P28" s="28"/>
      <c r="Q28" s="29">
        <v>5000</v>
      </c>
      <c r="R28" s="29">
        <f t="shared" si="2"/>
        <v>0</v>
      </c>
    </row>
    <row r="29" spans="1:20">
      <c r="A29" s="27" t="s">
        <v>28</v>
      </c>
      <c r="B29" s="25"/>
      <c r="C29" s="25">
        <f>(4690+4306)</f>
        <v>8996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f>IFERROR(AVERAGE(PaidOut12[[#This Row],[Column3]:[Column14]]),"")</f>
        <v>749.66666666666663</v>
      </c>
      <c r="P29" s="28"/>
      <c r="Q29" s="29"/>
      <c r="R29" s="29">
        <f t="shared" si="2"/>
        <v>8996</v>
      </c>
    </row>
    <row r="30" spans="1:20">
      <c r="A30" s="27" t="s">
        <v>29</v>
      </c>
      <c r="B30" s="25"/>
      <c r="C30" s="25">
        <v>500</v>
      </c>
      <c r="D30" s="25">
        <v>500</v>
      </c>
      <c r="E30" s="25">
        <v>500</v>
      </c>
      <c r="F30" s="25">
        <v>500</v>
      </c>
      <c r="G30" s="25">
        <v>500</v>
      </c>
      <c r="H30" s="25">
        <v>500</v>
      </c>
      <c r="I30" s="25">
        <v>500</v>
      </c>
      <c r="J30" s="25">
        <v>500</v>
      </c>
      <c r="K30" s="25">
        <v>500</v>
      </c>
      <c r="L30" s="25">
        <v>500</v>
      </c>
      <c r="M30" s="25">
        <v>500</v>
      </c>
      <c r="N30" s="25">
        <v>500</v>
      </c>
      <c r="O30" s="25">
        <f>IFERROR(AVERAGE(PaidOut12[[#This Row],[Column3]:[Column14]]),"")</f>
        <v>500</v>
      </c>
      <c r="P30" s="28"/>
      <c r="Q30" s="29"/>
      <c r="R30" s="29">
        <f t="shared" si="2"/>
        <v>6000</v>
      </c>
    </row>
    <row r="31" spans="1:20">
      <c r="A31" s="27" t="s">
        <v>30</v>
      </c>
      <c r="B31" s="25"/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1800</v>
      </c>
      <c r="O31" s="25">
        <f>IFERROR(AVERAGE(PaidOut12[[#This Row],[Column3]:[Column14]]),"")</f>
        <v>150</v>
      </c>
      <c r="P31" s="28"/>
      <c r="Q31" s="29">
        <v>14200</v>
      </c>
      <c r="R31" s="29">
        <f t="shared" si="2"/>
        <v>1800</v>
      </c>
    </row>
    <row r="32" spans="1:20" ht="16" thickBot="1">
      <c r="A32" s="27" t="s">
        <v>31</v>
      </c>
      <c r="B32" s="25"/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5000</v>
      </c>
      <c r="O32" s="25">
        <f>IFERROR(AVERAGE(PaidOut12[[#This Row],[Column3]:[Column14]]),"")</f>
        <v>416.66666666666669</v>
      </c>
      <c r="P32" s="28"/>
      <c r="Q32" s="33">
        <v>5000</v>
      </c>
      <c r="R32" s="33">
        <f t="shared" si="2"/>
        <v>5000</v>
      </c>
      <c r="T32" s="29">
        <f>(2000*14.7*12)</f>
        <v>352800</v>
      </c>
    </row>
    <row r="33" spans="1:18">
      <c r="A33" s="27" t="s">
        <v>32</v>
      </c>
      <c r="B33" s="34"/>
      <c r="C33" s="25">
        <f>SUBTOTAL(109,PaidOut12[Column3])</f>
        <v>13646</v>
      </c>
      <c r="D33" s="25">
        <f>SUBTOTAL(109,PaidOut12[Column4])</f>
        <v>4650</v>
      </c>
      <c r="E33" s="25">
        <f>SUBTOTAL(109,PaidOut12[Column5])</f>
        <v>4650</v>
      </c>
      <c r="F33" s="25">
        <f>SUBTOTAL(109,PaidOut12[Column6])</f>
        <v>4650</v>
      </c>
      <c r="G33" s="25">
        <f>SUBTOTAL(109,PaidOut12[Column7])</f>
        <v>4650</v>
      </c>
      <c r="H33" s="25">
        <f>SUBTOTAL(109,PaidOut12[Column8])</f>
        <v>4650</v>
      </c>
      <c r="I33" s="25">
        <f>SUBTOTAL(109,PaidOut12[Column9])</f>
        <v>4650</v>
      </c>
      <c r="J33" s="25">
        <f>SUBTOTAL(109,PaidOut12[Column10])</f>
        <v>4650</v>
      </c>
      <c r="K33" s="25">
        <f>SUBTOTAL(109,PaidOut12[Column11])</f>
        <v>4650</v>
      </c>
      <c r="L33" s="25">
        <f>SUBTOTAL(109,PaidOut12[Column12])</f>
        <v>49350</v>
      </c>
      <c r="M33" s="25">
        <f>SUBTOTAL(109,PaidOut12[Column13])</f>
        <v>4650</v>
      </c>
      <c r="N33" s="25">
        <f>SUBTOTAL(109,PaidOut12[Column14])</f>
        <v>12300</v>
      </c>
      <c r="O33" s="25">
        <f>IFERROR(AVERAGE(PaidOut12[[#Totals],[Column3]:[Column14]]),"")</f>
        <v>9762.1666666666661</v>
      </c>
      <c r="P33" s="28"/>
      <c r="Q33" s="29">
        <f>SUM(Q21:Q32)</f>
        <v>33900</v>
      </c>
      <c r="R33" s="29">
        <f>SUM(R20:R32)</f>
        <v>72446</v>
      </c>
    </row>
    <row r="35" spans="1:18" ht="16" thickBot="1">
      <c r="A35" s="43" t="s">
        <v>33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1:18">
      <c r="A36" s="27" t="s">
        <v>34</v>
      </c>
      <c r="B36" s="2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 t="str">
        <f>IFERROR(AVERAGE(OpData13[[#This Row],[Column3]:[Column14]]),"")</f>
        <v/>
      </c>
      <c r="P36" s="25"/>
      <c r="Q36" s="35">
        <f>SUM(OpData13[[#This Row],[Column3]:[Column16]])</f>
        <v>0</v>
      </c>
      <c r="R36" s="35">
        <f t="shared" ref="R36:R42" si="3">(Q36*14.7)</f>
        <v>0</v>
      </c>
    </row>
    <row r="37" spans="1:18" ht="30">
      <c r="A37" s="27" t="s">
        <v>35</v>
      </c>
      <c r="B37" s="28"/>
      <c r="C37" s="25">
        <v>8400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>
        <f>IFERROR(AVERAGE(OpData13[[#This Row],[Column3]:[Column14]]),"")</f>
        <v>8400</v>
      </c>
      <c r="P37" s="25"/>
      <c r="Q37" s="35">
        <f>SUM(OpData13[[#This Row],[Column3]:[Column16]])</f>
        <v>16800</v>
      </c>
      <c r="R37" s="35">
        <f t="shared" si="3"/>
        <v>246960</v>
      </c>
    </row>
    <row r="38" spans="1:18">
      <c r="A38" s="27" t="s">
        <v>36</v>
      </c>
      <c r="B38" s="28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>
        <f>(10000/17)+ (1000/17)</f>
        <v>647.05882352941182</v>
      </c>
      <c r="N38" s="25"/>
      <c r="O38" s="25">
        <f>IFERROR(AVERAGE(OpData13[[#This Row],[Column3]:[Column14]]),"")</f>
        <v>647.05882352941182</v>
      </c>
      <c r="P38" s="25"/>
      <c r="Q38" s="35">
        <f>SUM(OpData13[[#This Row],[Column3]:[Column16]])</f>
        <v>1294.1176470588236</v>
      </c>
      <c r="R38" s="35">
        <f t="shared" si="3"/>
        <v>19023.529411764706</v>
      </c>
    </row>
    <row r="39" spans="1:18">
      <c r="A39" s="27" t="s">
        <v>37</v>
      </c>
      <c r="B39" s="2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 t="str">
        <f>IFERROR(AVERAGE(OpData13[[#This Row],[Column3]:[Column14]]),"")</f>
        <v/>
      </c>
      <c r="P39" s="25"/>
      <c r="Q39" s="35">
        <f>SUM(OpData13[[#This Row],[Column3]:[Column16]])</f>
        <v>0</v>
      </c>
      <c r="R39" s="35">
        <f t="shared" si="3"/>
        <v>0</v>
      </c>
    </row>
    <row r="40" spans="1:18">
      <c r="A40" s="27" t="s">
        <v>38</v>
      </c>
      <c r="B40" s="28"/>
      <c r="C40" s="25"/>
      <c r="D40" s="25"/>
      <c r="E40" s="25"/>
      <c r="F40" s="25"/>
      <c r="G40" s="25"/>
      <c r="H40" s="25"/>
      <c r="I40" s="25"/>
      <c r="J40" s="25"/>
      <c r="K40" s="25"/>
      <c r="L40" s="25">
        <v>44700</v>
      </c>
      <c r="M40" s="25"/>
      <c r="N40" s="25"/>
      <c r="O40" s="25">
        <f>IFERROR(AVERAGE(OpData13[[#This Row],[Column3]:[Column14]]),"")</f>
        <v>44700</v>
      </c>
      <c r="P40" s="25"/>
      <c r="Q40" s="35">
        <f>SUM(OpData13[[#This Row],[Column3]:[Column16]])</f>
        <v>89400</v>
      </c>
      <c r="R40" s="35">
        <f t="shared" si="3"/>
        <v>1314180</v>
      </c>
    </row>
    <row r="41" spans="1:18">
      <c r="A41" s="27" t="s">
        <v>39</v>
      </c>
      <c r="B41" s="28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 t="str">
        <f>IFERROR(AVERAGE(OpData13[[#This Row],[Column3]:[Column14]]),"")</f>
        <v/>
      </c>
      <c r="P41" s="25"/>
      <c r="Q41" s="35">
        <f>SUM(OpData13[[#This Row],[Column3]:[Column16]])</f>
        <v>0</v>
      </c>
      <c r="R41" s="35">
        <f t="shared" si="3"/>
        <v>0</v>
      </c>
    </row>
    <row r="42" spans="1:18">
      <c r="A42" s="36" t="s">
        <v>40</v>
      </c>
      <c r="C42" s="35">
        <v>2000</v>
      </c>
      <c r="D42" s="35">
        <v>2000</v>
      </c>
      <c r="E42" s="35">
        <v>2000</v>
      </c>
      <c r="F42" s="35">
        <v>2000</v>
      </c>
      <c r="G42" s="35">
        <v>2000</v>
      </c>
      <c r="H42" s="35">
        <v>2000</v>
      </c>
      <c r="I42" s="35">
        <v>2000</v>
      </c>
      <c r="J42" s="35">
        <v>2000</v>
      </c>
      <c r="K42" s="35">
        <v>2000</v>
      </c>
      <c r="L42" s="35">
        <v>2000</v>
      </c>
      <c r="M42" s="35">
        <v>2000</v>
      </c>
      <c r="N42" s="35">
        <v>2000</v>
      </c>
      <c r="O42" s="35">
        <f>IFERROR(AVERAGE(OpData13[[#This Row],[Column3]:[Column14]]),"")</f>
        <v>2000</v>
      </c>
      <c r="P42" s="35"/>
      <c r="Q42" s="35">
        <f>SUM(OpData13[[#This Row],[Column3]:[Column16]])-2000</f>
        <v>24000</v>
      </c>
      <c r="R42" s="35">
        <f t="shared" si="3"/>
        <v>352800</v>
      </c>
    </row>
    <row r="46" spans="1:18">
      <c r="A46" s="36" t="s">
        <v>41</v>
      </c>
      <c r="B46" s="44">
        <v>106346</v>
      </c>
      <c r="C46" s="44"/>
      <c r="F46" s="36" t="s">
        <v>42</v>
      </c>
    </row>
    <row r="47" spans="1:18">
      <c r="F47" s="36" t="s">
        <v>43</v>
      </c>
    </row>
    <row r="48" spans="1:18">
      <c r="A48" s="36" t="s">
        <v>44</v>
      </c>
      <c r="B48" s="44">
        <v>106346</v>
      </c>
      <c r="C48" s="44"/>
      <c r="F48" s="36"/>
    </row>
    <row r="49" spans="1:12">
      <c r="A49" s="36" t="s">
        <v>45</v>
      </c>
      <c r="B49" s="49">
        <f>(33900-14200)</f>
        <v>19700</v>
      </c>
      <c r="C49" s="49"/>
      <c r="D49" s="37"/>
      <c r="E49" s="37"/>
      <c r="F49" s="38" t="s">
        <v>46</v>
      </c>
      <c r="G49" s="37"/>
      <c r="H49" s="37"/>
      <c r="I49" s="37"/>
      <c r="J49" s="37"/>
      <c r="K49" s="37"/>
      <c r="L49" s="37"/>
    </row>
    <row r="50" spans="1:12">
      <c r="A50" s="36" t="s">
        <v>47</v>
      </c>
      <c r="B50" s="44">
        <f>SUM(B48-B49)</f>
        <v>86646</v>
      </c>
      <c r="C50" s="44"/>
      <c r="F50" s="36" t="s">
        <v>48</v>
      </c>
      <c r="I50" s="36" t="s">
        <v>49</v>
      </c>
    </row>
    <row r="51" spans="1:12">
      <c r="A51" s="36" t="s">
        <v>50</v>
      </c>
      <c r="C51" s="29">
        <v>44700</v>
      </c>
      <c r="F51" s="36"/>
    </row>
    <row r="52" spans="1:12">
      <c r="A52" s="36" t="s">
        <v>51</v>
      </c>
      <c r="B52" s="46">
        <v>19700</v>
      </c>
      <c r="C52" s="46"/>
      <c r="F52" s="36"/>
    </row>
    <row r="53" spans="1:12">
      <c r="B53" s="39"/>
      <c r="F53" s="36"/>
    </row>
    <row r="54" spans="1:12">
      <c r="A54" s="36" t="s">
        <v>52</v>
      </c>
      <c r="B54" s="44">
        <v>72446</v>
      </c>
      <c r="C54" s="44"/>
    </row>
    <row r="56" spans="1:12">
      <c r="A56" s="36"/>
      <c r="B56" s="46"/>
      <c r="C56" s="46"/>
    </row>
    <row r="58" spans="1:12">
      <c r="A58" s="36" t="s">
        <v>53</v>
      </c>
      <c r="B58" s="44">
        <v>25000</v>
      </c>
      <c r="C58" s="44"/>
    </row>
    <row r="59" spans="1:12">
      <c r="A59" s="36" t="s">
        <v>54</v>
      </c>
      <c r="B59" s="47">
        <f>SUM(B56:C58)</f>
        <v>25000</v>
      </c>
      <c r="C59" s="48"/>
    </row>
    <row r="60" spans="1:12">
      <c r="H60" s="36" t="s">
        <v>55</v>
      </c>
    </row>
    <row r="61" spans="1:12">
      <c r="A61" s="36"/>
      <c r="B61" s="46"/>
      <c r="C61" s="45"/>
      <c r="E61" s="29"/>
      <c r="G61" s="44">
        <v>2600</v>
      </c>
      <c r="H61" s="44"/>
    </row>
    <row r="64" spans="1:12">
      <c r="A64" s="36" t="s">
        <v>56</v>
      </c>
    </row>
    <row r="65" spans="1:16">
      <c r="A65" s="40" t="s">
        <v>57</v>
      </c>
    </row>
    <row r="66" spans="1:16">
      <c r="A66" s="36" t="s">
        <v>58</v>
      </c>
    </row>
    <row r="67" spans="1:16">
      <c r="A67" s="36" t="s">
        <v>59</v>
      </c>
    </row>
    <row r="69" spans="1:16">
      <c r="A69" s="36" t="s">
        <v>60</v>
      </c>
      <c r="B69" s="45"/>
      <c r="C69" s="45"/>
    </row>
    <row r="70" spans="1:16">
      <c r="A70" s="36" t="s">
        <v>61</v>
      </c>
    </row>
    <row r="73" spans="1:16" ht="23" thickBot="1">
      <c r="A73" s="1" t="s">
        <v>0</v>
      </c>
      <c r="B73" s="1"/>
      <c r="C73" s="1"/>
      <c r="D73" s="1"/>
      <c r="E73" s="1"/>
      <c r="F73" s="1"/>
      <c r="G73" s="2"/>
      <c r="H73" s="1"/>
      <c r="I73" s="1"/>
      <c r="J73" s="1"/>
      <c r="K73" s="1"/>
      <c r="L73" s="1"/>
      <c r="M73" s="3"/>
      <c r="N73" s="41"/>
      <c r="O73" s="5" t="s">
        <v>1</v>
      </c>
      <c r="P73" s="6">
        <v>42370</v>
      </c>
    </row>
    <row r="74" spans="1:16">
      <c r="A74" s="42" t="s">
        <v>2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1:16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  <c r="O75" s="10"/>
      <c r="P75" s="11"/>
    </row>
    <row r="76" spans="1:16">
      <c r="A76" s="1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9"/>
      <c r="O76" s="10"/>
      <c r="P76" s="11"/>
    </row>
    <row r="77" spans="1:16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O77" s="15"/>
      <c r="P77" s="16"/>
    </row>
    <row r="78" spans="1:16" ht="17" thickBot="1">
      <c r="A78" s="17"/>
      <c r="B78" s="17" t="s">
        <v>3</v>
      </c>
      <c r="C78" s="18">
        <f>P73</f>
        <v>42370</v>
      </c>
      <c r="D78" s="18">
        <f>DATE(YEAR(C78),MONTH(C78)+1,1)</f>
        <v>42401</v>
      </c>
      <c r="E78" s="18">
        <f t="shared" ref="E78" si="4">DATE(YEAR(D78),MONTH(D78)+1,1)</f>
        <v>42430</v>
      </c>
      <c r="F78" s="18">
        <f t="shared" ref="F78" si="5">DATE(YEAR(E78),MONTH(E78)+1,1)</f>
        <v>42461</v>
      </c>
      <c r="G78" s="18">
        <f t="shared" ref="G78" si="6">DATE(YEAR(F78),MONTH(F78)+1,1)</f>
        <v>42491</v>
      </c>
      <c r="H78" s="18">
        <f t="shared" ref="H78" si="7">DATE(YEAR(G78),MONTH(G78)+1,1)</f>
        <v>42522</v>
      </c>
      <c r="I78" s="18">
        <f t="shared" ref="I78" si="8">DATE(YEAR(H78),MONTH(H78)+1,1)</f>
        <v>42552</v>
      </c>
      <c r="J78" s="18">
        <f t="shared" ref="J78" si="9">DATE(YEAR(I78),MONTH(I78)+1,1)</f>
        <v>42583</v>
      </c>
      <c r="K78" s="18">
        <f t="shared" ref="K78" si="10">DATE(YEAR(J78),MONTH(J78)+1,1)</f>
        <v>42614</v>
      </c>
      <c r="L78" s="18">
        <f t="shared" ref="L78" si="11">DATE(YEAR(K78),MONTH(K78)+1,1)</f>
        <v>42644</v>
      </c>
      <c r="M78" s="18">
        <f t="shared" ref="M78" si="12">DATE(YEAR(L78),MONTH(L78)+1,1)</f>
        <v>42675</v>
      </c>
      <c r="N78" s="18">
        <f t="shared" ref="N78" si="13">DATE(YEAR(M78),MONTH(M78)+1,1)</f>
        <v>42705</v>
      </c>
      <c r="O78" s="19" t="s">
        <v>4</v>
      </c>
      <c r="P78" s="20" t="s">
        <v>5</v>
      </c>
    </row>
    <row r="79" spans="1:16" ht="16" thickTop="1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 ht="16" thickBot="1">
      <c r="A80" s="23" t="s">
        <v>6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1:16">
      <c r="A81" s="21" t="s">
        <v>7</v>
      </c>
      <c r="B81" s="24">
        <v>92000</v>
      </c>
      <c r="C81" s="24">
        <f t="shared" ref="C81" si="14">B83</f>
        <v>92000</v>
      </c>
      <c r="D81" s="24">
        <f t="shared" ref="D81" si="15">C83</f>
        <v>108490</v>
      </c>
      <c r="E81" s="24">
        <f t="shared" ref="E81" si="16">D83</f>
        <v>92100</v>
      </c>
      <c r="F81" s="24">
        <f t="shared" ref="F81" si="17">E83</f>
        <v>79950</v>
      </c>
      <c r="G81" s="24">
        <f t="shared" ref="G81" si="18">F83</f>
        <v>76220</v>
      </c>
      <c r="H81" s="24">
        <f t="shared" ref="H81" si="19">G83</f>
        <v>78219.13</v>
      </c>
      <c r="I81" s="24">
        <f t="shared" ref="I81" si="20">H83</f>
        <v>78129.13</v>
      </c>
      <c r="J81" s="24">
        <f t="shared" ref="J81" si="21">I83</f>
        <v>71119.13</v>
      </c>
      <c r="K81" s="24">
        <f t="shared" ref="K81" si="22">J83</f>
        <v>65469.130000000005</v>
      </c>
      <c r="L81" s="24">
        <f t="shared" ref="L81" si="23">K83</f>
        <v>68547.460000000006</v>
      </c>
      <c r="M81" s="24">
        <f t="shared" ref="M81" si="24">L83</f>
        <v>62857.460000000006</v>
      </c>
      <c r="N81" s="24">
        <f t="shared" ref="N81" si="25">M83</f>
        <v>70955.760000000009</v>
      </c>
      <c r="O81" s="24" t="str">
        <f>IFERROR(AVERAGE(Summary10[[#This Row],[Column3]:[Column14]]),"")</f>
        <v/>
      </c>
      <c r="P81" s="22"/>
    </row>
    <row r="82" spans="1:16" ht="28">
      <c r="A82" s="26" t="s">
        <v>8</v>
      </c>
      <c r="B82" s="24">
        <f>SUM(B81,Receipts116[[#Totals],[Column2]])</f>
        <v>92000</v>
      </c>
      <c r="C82" s="24">
        <f>SUM(C81,Receipts116[[#Totals],[Column3]])</f>
        <v>114140</v>
      </c>
      <c r="D82" s="24">
        <f>SUM(D81,Receipts116[[#Totals],[Column4]])</f>
        <v>115050</v>
      </c>
      <c r="E82" s="24">
        <f>SUM(E81,Receipts116[[#Totals],[Column5]])</f>
        <v>92100</v>
      </c>
      <c r="F82" s="24">
        <f>SUM(F81,Receipts116[[#Totals],[Column6]])</f>
        <v>84870</v>
      </c>
      <c r="G82" s="24">
        <f>SUM(G81,Receipts116[[#Totals],[Column7]])</f>
        <v>84869.13</v>
      </c>
      <c r="H82" s="24">
        <f>SUM(H81,Receipts116[[#Totals],[Column8]])</f>
        <v>84779.13</v>
      </c>
      <c r="I82" s="24">
        <f>SUM(I81,Receipts116[[#Totals],[Column9]])</f>
        <v>79769.13</v>
      </c>
      <c r="J82" s="24">
        <f>SUM(J81,Receipts116[[#Totals],[Column10]])</f>
        <v>71119.13</v>
      </c>
      <c r="K82" s="24">
        <f>SUM(K81,Receipts116[[#Totals],[Column11]])</f>
        <v>74197.460000000006</v>
      </c>
      <c r="L82" s="24">
        <f>SUM(L81,Receipts116[[#Totals],[Column12]])</f>
        <v>71007.460000000006</v>
      </c>
      <c r="M82" s="24">
        <f>SUM(M81,Receipts116[[#Totals],[Column13]])</f>
        <v>76605.760000000009</v>
      </c>
      <c r="N82" s="24">
        <f>SUM(N81,Receipts116[[#Totals],[Column14]])</f>
        <v>71775.760000000009</v>
      </c>
      <c r="O82" s="24" t="str">
        <f>IFERROR(AVERAGE(Summary10[[#This Row],[Column3]:[Column14]]),"")</f>
        <v/>
      </c>
      <c r="P82" s="22"/>
    </row>
    <row r="83" spans="1:16">
      <c r="A83" s="26" t="s">
        <v>9</v>
      </c>
      <c r="B83" s="24">
        <f>(B82-PaidOut127[[#Totals],[Column2]])</f>
        <v>92000</v>
      </c>
      <c r="C83" s="24">
        <f>(C82-PaidOut127[[#Totals],[Column3]])</f>
        <v>108490</v>
      </c>
      <c r="D83" s="24">
        <f>(D82-PaidOut127[[#Totals],[Column4]])</f>
        <v>92100</v>
      </c>
      <c r="E83" s="24">
        <f>(E82-PaidOut127[[#Totals],[Column5]])</f>
        <v>79950</v>
      </c>
      <c r="F83" s="24">
        <f>(F82-PaidOut127[[#Totals],[Column6]])</f>
        <v>76220</v>
      </c>
      <c r="G83" s="24">
        <f>(G82-PaidOut127[[#Totals],[Column7]])</f>
        <v>78219.13</v>
      </c>
      <c r="H83" s="24">
        <f>(H82-PaidOut127[[#Totals],[Column8]])</f>
        <v>78129.13</v>
      </c>
      <c r="I83" s="24">
        <f>(I82-PaidOut127[[#Totals],[Column9]])</f>
        <v>71119.13</v>
      </c>
      <c r="J83" s="24">
        <f>(J82-PaidOut127[[#Totals],[Column10]])</f>
        <v>65469.130000000005</v>
      </c>
      <c r="K83" s="24">
        <f>(K82-PaidOut127[[#Totals],[Column11]])</f>
        <v>68547.460000000006</v>
      </c>
      <c r="L83" s="24">
        <f>(L82-PaidOut127[[#Totals],[Column12]])</f>
        <v>62857.460000000006</v>
      </c>
      <c r="M83" s="24">
        <f>(M82-PaidOut127[[#Totals],[Column13]])</f>
        <v>70955.760000000009</v>
      </c>
      <c r="N83" s="24">
        <f>(N82-PaidOut127[[#Totals],[Column14]])</f>
        <v>63475.760000000009</v>
      </c>
      <c r="O83" s="24" t="str">
        <f>IFERROR(AVERAGE(Summary10[[#This Row],[Column3]:[Column14]]),"")</f>
        <v/>
      </c>
      <c r="P83" s="22"/>
    </row>
    <row r="84" spans="1:16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ht="16" thickBot="1">
      <c r="A85" s="23" t="s">
        <v>10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1:16">
      <c r="A86" s="27" t="s">
        <v>11</v>
      </c>
      <c r="B86" s="25">
        <v>0</v>
      </c>
      <c r="C86" s="25">
        <v>22140</v>
      </c>
      <c r="D86" s="25">
        <v>6560</v>
      </c>
      <c r="E86" s="25">
        <v>0</v>
      </c>
      <c r="F86" s="25">
        <v>4920</v>
      </c>
      <c r="G86" s="25">
        <v>8649.1299999999992</v>
      </c>
      <c r="H86" s="25">
        <v>6560</v>
      </c>
      <c r="I86" s="25">
        <v>1640</v>
      </c>
      <c r="J86" s="25">
        <v>0</v>
      </c>
      <c r="K86" s="25">
        <v>8728.33</v>
      </c>
      <c r="L86" s="25">
        <v>1640</v>
      </c>
      <c r="M86" s="25">
        <v>13748.3</v>
      </c>
      <c r="N86" s="25">
        <v>820</v>
      </c>
      <c r="O86" s="25">
        <f>IFERROR(AVERAGE(Receipts116[[#This Row],[Column3]:[Column14]]),"")</f>
        <v>6283.8133333333326</v>
      </c>
      <c r="P86" s="28"/>
    </row>
    <row r="87" spans="1:16">
      <c r="A87" s="27" t="s">
        <v>12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/>
      <c r="I87" s="25"/>
      <c r="J87" s="25"/>
      <c r="K87" s="25"/>
      <c r="L87" s="25">
        <v>820</v>
      </c>
      <c r="M87" s="25"/>
      <c r="N87" s="25"/>
      <c r="O87" s="25">
        <f>IFERROR(AVERAGE(Receipts116[[#This Row],[Column3]:[Column14]]),"")</f>
        <v>136.66666666666666</v>
      </c>
      <c r="P87" s="28"/>
    </row>
    <row r="88" spans="1:16">
      <c r="A88" s="27" t="s">
        <v>13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/>
      <c r="I88" s="25"/>
      <c r="J88" s="25"/>
      <c r="K88" s="25"/>
      <c r="L88" s="25">
        <v>0</v>
      </c>
      <c r="M88" s="25"/>
      <c r="N88" s="25"/>
      <c r="O88" s="25">
        <f>IFERROR(AVERAGE(Receipts116[[#This Row],[Column3]:[Column14]]),"")</f>
        <v>0</v>
      </c>
      <c r="P88" s="28"/>
    </row>
    <row r="89" spans="1:16">
      <c r="A89" s="27" t="s">
        <v>14</v>
      </c>
      <c r="B89" s="25">
        <f>SUBTOTAL(109,Receipts116[Column2])</f>
        <v>0</v>
      </c>
      <c r="C89" s="25">
        <f>SUBTOTAL(109,Receipts116[Column3])</f>
        <v>22140</v>
      </c>
      <c r="D89" s="25">
        <f>SUBTOTAL(109,Receipts116[Column4])</f>
        <v>6560</v>
      </c>
      <c r="E89" s="25">
        <f>SUBTOTAL(109,Receipts116[Column5])</f>
        <v>0</v>
      </c>
      <c r="F89" s="25">
        <f>SUBTOTAL(109,Receipts116[Column6])</f>
        <v>4920</v>
      </c>
      <c r="G89" s="25">
        <f>SUBTOTAL(109,Receipts116[Column7])</f>
        <v>8649.1299999999992</v>
      </c>
      <c r="H89" s="25">
        <f>SUBTOTAL(109,Receipts116[Column8])</f>
        <v>6560</v>
      </c>
      <c r="I89" s="25">
        <f>SUBTOTAL(109,Receipts116[Column9])</f>
        <v>1640</v>
      </c>
      <c r="J89" s="25">
        <f>SUBTOTAL(109,Receipts116[Column10])</f>
        <v>0</v>
      </c>
      <c r="K89" s="25">
        <f>SUBTOTAL(109,Receipts116[Column11])</f>
        <v>8728.33</v>
      </c>
      <c r="L89" s="25">
        <f>SUBTOTAL(109,Receipts116[Column12])</f>
        <v>2460</v>
      </c>
      <c r="M89" s="25">
        <f>SUBTOTAL(109,Receipts116[Column13])</f>
        <v>13748.3</v>
      </c>
      <c r="N89" s="25">
        <f>SUBTOTAL(109,Receipts116[Column14])</f>
        <v>820</v>
      </c>
      <c r="O89" s="25">
        <f>IFERROR(AVERAGE(Receipts116[[#Totals],[Column3]:[Column14]]),"")</f>
        <v>6352.1466666666665</v>
      </c>
      <c r="P89" s="28"/>
    </row>
    <row r="90" spans="1:16">
      <c r="A90" s="30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 ht="16" thickBot="1">
      <c r="A91" s="23" t="s">
        <v>15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>
      <c r="A92" s="27" t="s">
        <v>19</v>
      </c>
      <c r="B92" s="25"/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f>IFERROR(AVERAGE(PaidOut127[[#This Row],[Column3]:[Column14]]),"")</f>
        <v>0</v>
      </c>
      <c r="P92" s="28"/>
    </row>
    <row r="93" spans="1:16">
      <c r="A93" s="27" t="s">
        <v>20</v>
      </c>
      <c r="B93" s="25"/>
      <c r="C93" s="25">
        <v>3850</v>
      </c>
      <c r="D93" s="25">
        <v>3850</v>
      </c>
      <c r="E93" s="25">
        <v>3850</v>
      </c>
      <c r="F93" s="25">
        <v>3850</v>
      </c>
      <c r="G93" s="25">
        <v>3850</v>
      </c>
      <c r="H93" s="25">
        <v>3850</v>
      </c>
      <c r="I93" s="25">
        <v>3850</v>
      </c>
      <c r="J93" s="25">
        <v>3850</v>
      </c>
      <c r="K93" s="25">
        <v>3850</v>
      </c>
      <c r="L93" s="25">
        <v>3850</v>
      </c>
      <c r="M93" s="25">
        <v>3850</v>
      </c>
      <c r="N93" s="25">
        <v>4700</v>
      </c>
      <c r="O93" s="25">
        <f>IFERROR(AVERAGE(PaidOut127[[#This Row],[Column3]:[Column14]]),"")</f>
        <v>3920.8333333333335</v>
      </c>
      <c r="P93" s="28"/>
    </row>
    <row r="94" spans="1:16">
      <c r="A94" s="27" t="s">
        <v>21</v>
      </c>
      <c r="B94" s="25"/>
      <c r="C94" s="25">
        <v>0</v>
      </c>
      <c r="D94" s="25">
        <v>2000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f>IFERROR(AVERAGE(PaidOut127[[#This Row],[Column3]:[Column14]]),"")</f>
        <v>166.66666666666666</v>
      </c>
      <c r="P94" s="28"/>
    </row>
    <row r="95" spans="1:16">
      <c r="A95" s="27" t="s">
        <v>22</v>
      </c>
      <c r="B95" s="25"/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f>IFERROR(AVERAGE(PaidOut127[[#This Row],[Column3]:[Column14]]),"")</f>
        <v>0</v>
      </c>
      <c r="P95" s="28"/>
    </row>
    <row r="96" spans="1:16">
      <c r="A96" s="27" t="s">
        <v>23</v>
      </c>
      <c r="B96" s="25"/>
      <c r="C96" s="25">
        <v>0</v>
      </c>
      <c r="D96" s="25">
        <v>0</v>
      </c>
      <c r="E96" s="25">
        <v>4000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f>IFERROR(AVERAGE(PaidOut127[[#This Row],[Column3]:[Column14]]),"")</f>
        <v>333.33333333333331</v>
      </c>
      <c r="P96" s="28"/>
    </row>
    <row r="97" spans="1:16">
      <c r="A97" s="27" t="s">
        <v>24</v>
      </c>
      <c r="B97" s="25"/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f>IFERROR(AVERAGE(PaidOut127[[#This Row],[Column3]:[Column14]]),"")</f>
        <v>0</v>
      </c>
      <c r="P97" s="28"/>
    </row>
    <row r="98" spans="1:16">
      <c r="A98" s="27" t="s">
        <v>25</v>
      </c>
      <c r="B98" s="25"/>
      <c r="C98" s="25">
        <v>300</v>
      </c>
      <c r="D98" s="25">
        <v>300</v>
      </c>
      <c r="E98" s="25">
        <v>300</v>
      </c>
      <c r="F98" s="25">
        <v>300</v>
      </c>
      <c r="G98" s="25">
        <v>300</v>
      </c>
      <c r="H98" s="25">
        <v>300</v>
      </c>
      <c r="I98" s="25">
        <v>300</v>
      </c>
      <c r="J98" s="25">
        <v>300</v>
      </c>
      <c r="K98" s="25">
        <v>300</v>
      </c>
      <c r="L98" s="25">
        <v>300</v>
      </c>
      <c r="M98" s="25">
        <v>300</v>
      </c>
      <c r="N98" s="25">
        <v>300</v>
      </c>
      <c r="O98" s="25">
        <f>IFERROR(AVERAGE(PaidOut127[[#This Row],[Column3]:[Column14]]),"")</f>
        <v>300</v>
      </c>
      <c r="P98" s="28"/>
    </row>
    <row r="99" spans="1:16">
      <c r="A99" s="27" t="s">
        <v>26</v>
      </c>
      <c r="B99" s="25"/>
      <c r="C99" s="25">
        <v>0</v>
      </c>
      <c r="D99" s="25">
        <v>0</v>
      </c>
      <c r="E99" s="25">
        <v>1000</v>
      </c>
      <c r="F99" s="25">
        <v>1000</v>
      </c>
      <c r="G99" s="25">
        <v>1000</v>
      </c>
      <c r="H99" s="25">
        <v>1000</v>
      </c>
      <c r="I99" s="25">
        <v>1000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f>IFERROR(AVERAGE(PaidOut127[[#This Row],[Column3]:[Column14]]),"")</f>
        <v>416.66666666666669</v>
      </c>
      <c r="P99" s="28"/>
    </row>
    <row r="100" spans="1:16">
      <c r="A100" s="27" t="s">
        <v>27</v>
      </c>
      <c r="B100" s="25"/>
      <c r="C100" s="25">
        <v>0</v>
      </c>
      <c r="D100" s="25">
        <v>2500</v>
      </c>
      <c r="E100" s="25">
        <v>0</v>
      </c>
      <c r="F100" s="25">
        <v>2000</v>
      </c>
      <c r="G100" s="25">
        <v>0</v>
      </c>
      <c r="H100" s="25">
        <v>0</v>
      </c>
      <c r="I100" s="25">
        <v>2000</v>
      </c>
      <c r="J100" s="25">
        <v>0</v>
      </c>
      <c r="K100" s="25">
        <v>0</v>
      </c>
      <c r="L100" s="25">
        <v>2500</v>
      </c>
      <c r="M100" s="25">
        <v>0</v>
      </c>
      <c r="N100" s="25">
        <v>0</v>
      </c>
      <c r="O100" s="25">
        <f>IFERROR(AVERAGE(PaidOut127[[#This Row],[Column3]:[Column14]]),"")</f>
        <v>750</v>
      </c>
      <c r="P100" s="28"/>
    </row>
    <row r="101" spans="1:16">
      <c r="A101" s="27" t="s">
        <v>28</v>
      </c>
      <c r="B101" s="25"/>
      <c r="C101" s="25">
        <v>0</v>
      </c>
      <c r="D101" s="25">
        <v>9800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f>IFERROR(AVERAGE(PaidOut127[[#This Row],[Column3]:[Column14]]),"")</f>
        <v>816.66666666666663</v>
      </c>
      <c r="P101" s="28"/>
    </row>
    <row r="102" spans="1:16">
      <c r="A102" s="27" t="s">
        <v>29</v>
      </c>
      <c r="B102" s="25"/>
      <c r="C102" s="25">
        <v>500</v>
      </c>
      <c r="D102" s="25">
        <v>500</v>
      </c>
      <c r="E102" s="25">
        <v>500</v>
      </c>
      <c r="F102" s="25">
        <v>500</v>
      </c>
      <c r="G102" s="25">
        <v>500</v>
      </c>
      <c r="H102" s="25">
        <v>500</v>
      </c>
      <c r="I102" s="25">
        <v>500</v>
      </c>
      <c r="J102" s="25">
        <v>500</v>
      </c>
      <c r="K102" s="25">
        <v>500</v>
      </c>
      <c r="L102" s="25">
        <v>500</v>
      </c>
      <c r="M102" s="25">
        <v>500</v>
      </c>
      <c r="N102" s="25">
        <v>500</v>
      </c>
      <c r="O102" s="25">
        <f>IFERROR(AVERAGE(PaidOut127[[#This Row],[Column3]:[Column14]]),"")</f>
        <v>500</v>
      </c>
      <c r="P102" s="28"/>
    </row>
    <row r="103" spans="1:16">
      <c r="A103" s="27" t="s">
        <v>30</v>
      </c>
      <c r="B103" s="25"/>
      <c r="C103" s="25">
        <v>1000</v>
      </c>
      <c r="D103" s="25">
        <v>1000</v>
      </c>
      <c r="E103" s="25">
        <v>2500</v>
      </c>
      <c r="F103" s="25">
        <v>1000</v>
      </c>
      <c r="G103" s="25">
        <v>1000</v>
      </c>
      <c r="H103" s="25">
        <v>1000</v>
      </c>
      <c r="I103" s="25">
        <v>1000</v>
      </c>
      <c r="J103" s="25">
        <v>1000</v>
      </c>
      <c r="K103" s="25">
        <v>1000</v>
      </c>
      <c r="L103" s="25">
        <v>1000</v>
      </c>
      <c r="M103" s="25">
        <v>1000</v>
      </c>
      <c r="N103" s="25">
        <v>2800</v>
      </c>
      <c r="O103" s="25">
        <f>IFERROR(AVERAGE(PaidOut127[[#This Row],[Column3]:[Column14]]),"")</f>
        <v>1275</v>
      </c>
      <c r="P103" s="28"/>
    </row>
    <row r="104" spans="1:16">
      <c r="A104" s="27" t="s">
        <v>31</v>
      </c>
      <c r="B104" s="25"/>
      <c r="C104" s="25">
        <v>0</v>
      </c>
      <c r="D104" s="25">
        <v>3000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f>IFERROR(AVERAGE(PaidOut127[[#This Row],[Column3]:[Column14]]),"")</f>
        <v>250</v>
      </c>
      <c r="P104" s="28"/>
    </row>
    <row r="105" spans="1:16">
      <c r="A105" s="27" t="s">
        <v>32</v>
      </c>
      <c r="B105" s="34"/>
      <c r="C105" s="25">
        <f>SUBTOTAL(109,PaidOut127[Column3])</f>
        <v>5650</v>
      </c>
      <c r="D105" s="25">
        <f>SUBTOTAL(109,PaidOut127[Column4])</f>
        <v>22950</v>
      </c>
      <c r="E105" s="25">
        <f>SUBTOTAL(109,PaidOut127[Column5])</f>
        <v>12150</v>
      </c>
      <c r="F105" s="25">
        <f>SUBTOTAL(109,PaidOut127[Column6])</f>
        <v>8650</v>
      </c>
      <c r="G105" s="25">
        <f>SUBTOTAL(109,PaidOut127[Column7])</f>
        <v>6650</v>
      </c>
      <c r="H105" s="25">
        <f>SUBTOTAL(109,PaidOut127[Column8])</f>
        <v>6650</v>
      </c>
      <c r="I105" s="25">
        <f>SUBTOTAL(109,PaidOut127[Column9])</f>
        <v>8650</v>
      </c>
      <c r="J105" s="25">
        <f>SUBTOTAL(109,PaidOut127[Column10])</f>
        <v>5650</v>
      </c>
      <c r="K105" s="25">
        <f>SUBTOTAL(109,PaidOut127[Column11])</f>
        <v>5650</v>
      </c>
      <c r="L105" s="25">
        <f>SUBTOTAL(109,PaidOut127[Column12])</f>
        <v>8150</v>
      </c>
      <c r="M105" s="25">
        <f>SUBTOTAL(109,PaidOut127[Column13])</f>
        <v>5650</v>
      </c>
      <c r="N105" s="25">
        <f>SUBTOTAL(109,PaidOut127[Column14])</f>
        <v>8300</v>
      </c>
      <c r="O105" s="25">
        <f>IFERROR(AVERAGE(PaidOut127[[#Totals],[Column3]:[Column14]]),"")</f>
        <v>8729.1666666666661</v>
      </c>
      <c r="P105" s="28"/>
    </row>
    <row r="107" spans="1:16" ht="16" thickBot="1">
      <c r="A107" s="43" t="s">
        <v>33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</row>
    <row r="108" spans="1:16">
      <c r="A108" s="27" t="s">
        <v>34</v>
      </c>
      <c r="B108" s="28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 t="str">
        <f>IFERROR(AVERAGE(OpData13[[#This Row],[Column3]:[Column14]]),"")</f>
        <v/>
      </c>
      <c r="P108" s="25"/>
    </row>
    <row r="109" spans="1:16" ht="30">
      <c r="A109" s="27" t="s">
        <v>35</v>
      </c>
      <c r="B109" s="28"/>
      <c r="C109" s="25">
        <v>8400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 t="str">
        <f>IFERROR(AVERAGE(OpData13[[#This Row],[Column3]:[Column14]]),"")</f>
        <v/>
      </c>
      <c r="P109" s="25"/>
    </row>
    <row r="110" spans="1:16">
      <c r="A110" s="27" t="s">
        <v>36</v>
      </c>
      <c r="B110" s="28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>
        <f>(10000/17)+ (1000/17)</f>
        <v>647.05882352941182</v>
      </c>
      <c r="N110" s="25"/>
      <c r="O110" s="25" t="str">
        <f>IFERROR(AVERAGE(OpData13[[#This Row],[Column3]:[Column14]]),"")</f>
        <v/>
      </c>
      <c r="P110" s="25"/>
    </row>
    <row r="111" spans="1:16">
      <c r="A111" s="27" t="s">
        <v>37</v>
      </c>
      <c r="B111" s="28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 t="str">
        <f>IFERROR(AVERAGE(OpData13[[#This Row],[Column3]:[Column14]]),"")</f>
        <v/>
      </c>
      <c r="P111" s="25"/>
    </row>
    <row r="112" spans="1:16">
      <c r="A112" s="27" t="s">
        <v>38</v>
      </c>
      <c r="B112" s="28"/>
      <c r="C112" s="25"/>
      <c r="D112" s="25"/>
      <c r="E112" s="25"/>
      <c r="F112" s="25"/>
      <c r="G112" s="25"/>
      <c r="H112" s="25"/>
      <c r="I112" s="25"/>
      <c r="J112" s="25"/>
      <c r="K112" s="25"/>
      <c r="L112" s="25">
        <v>44700</v>
      </c>
      <c r="M112" s="25"/>
      <c r="N112" s="25"/>
      <c r="O112" s="25" t="str">
        <f>IFERROR(AVERAGE(OpData13[[#This Row],[Column3]:[Column14]]),"")</f>
        <v/>
      </c>
      <c r="P112" s="25"/>
    </row>
    <row r="113" spans="1:16">
      <c r="A113" s="27" t="s">
        <v>39</v>
      </c>
      <c r="B113" s="28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 t="str">
        <f>IFERROR(AVERAGE(OpData13[[#This Row],[Column3]:[Column14]]),"")</f>
        <v/>
      </c>
      <c r="P113" s="25"/>
    </row>
    <row r="114" spans="1:16">
      <c r="A114" s="36" t="s">
        <v>40</v>
      </c>
      <c r="C114" s="35">
        <v>1400</v>
      </c>
      <c r="D114" s="35">
        <v>1400</v>
      </c>
      <c r="E114" s="35">
        <v>1400</v>
      </c>
      <c r="F114" s="35">
        <v>1400</v>
      </c>
      <c r="G114" s="35">
        <v>1400</v>
      </c>
      <c r="H114" s="35">
        <v>1400</v>
      </c>
      <c r="I114" s="35">
        <v>1400</v>
      </c>
      <c r="J114" s="35">
        <v>1400</v>
      </c>
      <c r="K114" s="35">
        <v>1400</v>
      </c>
      <c r="L114" s="35">
        <v>1400</v>
      </c>
      <c r="M114" s="35">
        <v>1400</v>
      </c>
      <c r="N114" s="35">
        <v>1400</v>
      </c>
      <c r="O114" s="35" t="str">
        <f>IFERROR(AVERAGE(OpData13[[#This Row],[Column3]:[Column14]]),"")</f>
        <v/>
      </c>
      <c r="P114" s="35"/>
    </row>
  </sheetData>
  <mergeCells count="16">
    <mergeCell ref="B50:C50"/>
    <mergeCell ref="A2:P2"/>
    <mergeCell ref="A35:P35"/>
    <mergeCell ref="B46:C46"/>
    <mergeCell ref="B48:C48"/>
    <mergeCell ref="B49:C49"/>
    <mergeCell ref="A74:P74"/>
    <mergeCell ref="A107:P107"/>
    <mergeCell ref="G61:H61"/>
    <mergeCell ref="B69:C69"/>
    <mergeCell ref="B52:C52"/>
    <mergeCell ref="B54:C54"/>
    <mergeCell ref="B56:C56"/>
    <mergeCell ref="B58:C58"/>
    <mergeCell ref="B59:C59"/>
    <mergeCell ref="B61:C61"/>
  </mergeCells>
  <phoneticPr fontId="13" type="noConversion"/>
  <conditionalFormatting sqref="O14:O16 O18 O20:O32 B9:O12">
    <cfRule type="cellIs" dxfId="204" priority="6" operator="lessThan">
      <formula>0</formula>
    </cfRule>
  </conditionalFormatting>
  <conditionalFormatting sqref="O36:O42">
    <cfRule type="cellIs" dxfId="203" priority="5" operator="lessThan">
      <formula>0</formula>
    </cfRule>
  </conditionalFormatting>
  <conditionalFormatting sqref="B7:O7">
    <cfRule type="cellIs" dxfId="202" priority="4" operator="lessThan">
      <formula>0</formula>
    </cfRule>
  </conditionalFormatting>
  <conditionalFormatting sqref="O86:O88 O90 O92:O104 B81:O84">
    <cfRule type="cellIs" dxfId="201" priority="3" operator="lessThan">
      <formula>0</formula>
    </cfRule>
  </conditionalFormatting>
  <conditionalFormatting sqref="O108:O114">
    <cfRule type="cellIs" dxfId="200" priority="2" operator="lessThan">
      <formula>0</formula>
    </cfRule>
  </conditionalFormatting>
  <conditionalFormatting sqref="B79:O79">
    <cfRule type="cellIs" dxfId="199" priority="1" operator="lessThan">
      <formula>0</formula>
    </cfRule>
  </conditionalFormatting>
  <pageMargins left="0.75" right="0.75" top="1" bottom="1" header="0.5" footer="0.5"/>
  <tableParts count="6">
    <tablePart r:id="rId1"/>
    <tablePart r:id="rId2"/>
    <tablePart r:id="rId3"/>
    <tablePart r:id="rId4"/>
    <tablePart r:id="rId5"/>
    <tablePart r:id="rId6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low="1" negative="1">
          <x14:colorSeries theme="1" tint="0.499984740745262"/>
          <x14:colorNegative rgb="FFFF0000"/>
          <x14:colorAxis rgb="FF000000"/>
          <x14:colorMarkers rgb="FF404040"/>
          <x14:colorFirst rgb="FF404040"/>
          <x14:colorLast rgb="FF404040"/>
          <x14:colorHigh rgb="FF0000FF"/>
          <x14:colorLow rgb="FF404040"/>
          <x14:sparklines>
            <x14:sparkline>
              <xm:f>Hoja1!C36:N36</xm:f>
              <xm:sqref>P36</xm:sqref>
            </x14:sparkline>
            <x14:sparkline>
              <xm:f>Hoja1!C16:N16</xm:f>
              <xm:sqref>P16</xm:sqref>
            </x14:sparkline>
            <x14:sparkline>
              <xm:f>Hoja1!C18:N18</xm:f>
              <xm:sqref>P18</xm:sqref>
            </x14:sparkline>
            <x14:sparkline>
              <xm:f>Hoja1!C15:N15</xm:f>
              <xm:sqref>P15</xm:sqref>
            </x14:sparkline>
            <x14:sparkline>
              <xm:f>Hoja1!C14:N14</xm:f>
              <xm:sqref>P14</xm:sqref>
            </x14:sparkline>
            <x14:sparkline>
              <xm:f>Hoja1!C27:N27</xm:f>
              <xm:sqref>P27</xm:sqref>
            </x14:sparkline>
            <x14:sparkline>
              <xm:f>Hoja1!C26:N26</xm:f>
              <xm:sqref>P26</xm:sqref>
            </x14:sparkline>
            <x14:sparkline>
              <xm:f>Hoja1!C25:N25</xm:f>
              <xm:sqref>P25</xm:sqref>
            </x14:sparkline>
            <x14:sparkline>
              <xm:f>Hoja1!C24:N24</xm:f>
              <xm:sqref>P24</xm:sqref>
            </x14:sparkline>
            <x14:sparkline>
              <xm:f>Hoja1!C23:N23</xm:f>
              <xm:sqref>P23</xm:sqref>
            </x14:sparkline>
            <x14:sparkline>
              <xm:f>Hoja1!C22:N22</xm:f>
              <xm:sqref>P22</xm:sqref>
            </x14:sparkline>
            <x14:sparkline>
              <xm:f>Hoja1!C21:N21</xm:f>
              <xm:sqref>P21</xm:sqref>
            </x14:sparkline>
            <x14:sparkline>
              <xm:f>Hoja1!C32:N32</xm:f>
              <xm:sqref>P32</xm:sqref>
            </x14:sparkline>
            <x14:sparkline>
              <xm:f>Hoja1!C31:N31</xm:f>
              <xm:sqref>P31</xm:sqref>
            </x14:sparkline>
            <x14:sparkline>
              <xm:f>Hoja1!C30:N30</xm:f>
              <xm:sqref>P30</xm:sqref>
            </x14:sparkline>
            <x14:sparkline>
              <xm:f>Hoja1!C29:N29</xm:f>
              <xm:sqref>P29</xm:sqref>
            </x14:sparkline>
            <x14:sparkline>
              <xm:f>Hoja1!C28:N28</xm:f>
              <xm:sqref>P28</xm:sqref>
            </x14:sparkline>
            <x14:sparkline>
              <xm:f>Hoja1!C41:N41</xm:f>
              <xm:sqref>P41</xm:sqref>
            </x14:sparkline>
            <x14:sparkline>
              <xm:f>Hoja1!C39:N39</xm:f>
              <xm:sqref>P39</xm:sqref>
            </x14:sparkline>
            <x14:sparkline>
              <xm:f>Hoja1!C40:N40</xm:f>
              <xm:sqref>P40</xm:sqref>
            </x14:sparkline>
            <x14:sparkline>
              <xm:f>Hoja1!C38:N38</xm:f>
              <xm:sqref>P38</xm:sqref>
            </x14:sparkline>
            <x14:sparkline>
              <xm:f>Hoja1!C37:N37</xm:f>
              <xm:sqref>P37</xm:sqref>
            </x14:sparkline>
            <x14:sparkline>
              <xm:f>Hoja1!C20:N20</xm:f>
              <xm:sqref>P20</xm:sqref>
            </x14:sparkline>
          </x14:sparklines>
        </x14:sparklineGroup>
        <x14:sparklineGroup manualMax="0" manualMin="0" type="column" displayEmptyCellsAs="gap" high="1" low="1" negative="1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Hoja1!C9:N9</xm:f>
              <xm:sqref>P9</xm:sqref>
            </x14:sparkline>
            <x14:sparkline>
              <xm:f>Hoja1!C33:N33</xm:f>
              <xm:sqref>P33</xm:sqref>
            </x14:sparkline>
            <x14:sparkline>
              <xm:f>Hoja1!C10:N10</xm:f>
              <xm:sqref>P10</xm:sqref>
            </x14:sparkline>
            <x14:sparkline>
              <xm:f>Hoja1!C17:N17</xm:f>
              <xm:sqref>P17</xm:sqref>
            </x14:sparkline>
            <x14:sparkline>
              <xm:f>Hoja1!C11:N11</xm:f>
              <xm:sqref>P11</xm:sqref>
            </x14:sparkline>
          </x14:sparklines>
        </x14:sparklineGroup>
        <x14:sparklineGroup manualMax="0" manualMin="0" type="column" displayEmptyCellsAs="gap" high="1" low="1" negative="1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Hoja1!C81:N81</xm:f>
              <xm:sqref>P81</xm:sqref>
            </x14:sparkline>
            <x14:sparkline>
              <xm:f>Hoja1!C105:N105</xm:f>
              <xm:sqref>P105</xm:sqref>
            </x14:sparkline>
            <x14:sparkline>
              <xm:f>Hoja1!C82:N82</xm:f>
              <xm:sqref>P82</xm:sqref>
            </x14:sparkline>
            <x14:sparkline>
              <xm:f>Hoja1!C89:N89</xm:f>
              <xm:sqref>P89</xm:sqref>
            </x14:sparkline>
            <x14:sparkline>
              <xm:f>Hoja1!C83:N83</xm:f>
              <xm:sqref>P83</xm:sqref>
            </x14:sparkline>
          </x14:sparklines>
        </x14:sparklineGroup>
        <x14:sparklineGroup manualMax="0" manualMin="0" displayEmptyCellsAs="gap" high="1" low="1" negative="1">
          <x14:colorSeries theme="1" tint="0.499984740745262"/>
          <x14:colorNegative rgb="FFFF0000"/>
          <x14:colorAxis rgb="FF000000"/>
          <x14:colorMarkers rgb="FF404040"/>
          <x14:colorFirst rgb="FF404040"/>
          <x14:colorLast rgb="FF404040"/>
          <x14:colorHigh rgb="FF0000FF"/>
          <x14:colorLow rgb="FF404040"/>
          <x14:sparklines>
            <x14:sparkline>
              <xm:f>Hoja1!C108:N108</xm:f>
              <xm:sqref>P108</xm:sqref>
            </x14:sparkline>
            <x14:sparkline>
              <xm:f>Hoja1!C88:N88</xm:f>
              <xm:sqref>P88</xm:sqref>
            </x14:sparkline>
            <x14:sparkline>
              <xm:f>Hoja1!C90:N90</xm:f>
              <xm:sqref>P90</xm:sqref>
            </x14:sparkline>
            <x14:sparkline>
              <xm:f>Hoja1!C87:N87</xm:f>
              <xm:sqref>P87</xm:sqref>
            </x14:sparkline>
            <x14:sparkline>
              <xm:f>Hoja1!C86:N86</xm:f>
              <xm:sqref>P86</xm:sqref>
            </x14:sparkline>
            <x14:sparkline>
              <xm:f>Hoja1!C99:N99</xm:f>
              <xm:sqref>P99</xm:sqref>
            </x14:sparkline>
            <x14:sparkline>
              <xm:f>Hoja1!C98:N98</xm:f>
              <xm:sqref>P98</xm:sqref>
            </x14:sparkline>
            <x14:sparkline>
              <xm:f>Hoja1!C97:N97</xm:f>
              <xm:sqref>P97</xm:sqref>
            </x14:sparkline>
            <x14:sparkline>
              <xm:f>Hoja1!C96:N96</xm:f>
              <xm:sqref>P96</xm:sqref>
            </x14:sparkline>
            <x14:sparkline>
              <xm:f>Hoja1!C95:N95</xm:f>
              <xm:sqref>P95</xm:sqref>
            </x14:sparkline>
            <x14:sparkline>
              <xm:f>Hoja1!C94:N94</xm:f>
              <xm:sqref>P94</xm:sqref>
            </x14:sparkline>
            <x14:sparkline>
              <xm:f>Hoja1!C93:N93</xm:f>
              <xm:sqref>P93</xm:sqref>
            </x14:sparkline>
            <x14:sparkline>
              <xm:f>Hoja1!C104:N104</xm:f>
              <xm:sqref>P104</xm:sqref>
            </x14:sparkline>
            <x14:sparkline>
              <xm:f>Hoja1!C103:N103</xm:f>
              <xm:sqref>P103</xm:sqref>
            </x14:sparkline>
            <x14:sparkline>
              <xm:f>Hoja1!C102:N102</xm:f>
              <xm:sqref>P102</xm:sqref>
            </x14:sparkline>
            <x14:sparkline>
              <xm:f>Hoja1!C101:N101</xm:f>
              <xm:sqref>P101</xm:sqref>
            </x14:sparkline>
            <x14:sparkline>
              <xm:f>Hoja1!C100:N100</xm:f>
              <xm:sqref>P100</xm:sqref>
            </x14:sparkline>
            <x14:sparkline>
              <xm:f>Hoja1!C113:N113</xm:f>
              <xm:sqref>P113</xm:sqref>
            </x14:sparkline>
            <x14:sparkline>
              <xm:f>Hoja1!C111:N111</xm:f>
              <xm:sqref>P111</xm:sqref>
            </x14:sparkline>
            <x14:sparkline>
              <xm:f>Hoja1!C112:N112</xm:f>
              <xm:sqref>P112</xm:sqref>
            </x14:sparkline>
            <x14:sparkline>
              <xm:f>Hoja1!C110:N110</xm:f>
              <xm:sqref>P110</xm:sqref>
            </x14:sparkline>
            <x14:sparkline>
              <xm:f>Hoja1!C109:N109</xm:f>
              <xm:sqref>P109</xm:sqref>
            </x14:sparkline>
            <x14:sparkline>
              <xm:f>Hoja1!C92:N92</xm:f>
              <xm:sqref>P92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honeticPr fontId="1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Instituto Valladolid Preparatoria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Sebastian Contreras</dc:creator>
  <cp:lastModifiedBy>Norma Sebastian Contreras</cp:lastModifiedBy>
  <cp:lastPrinted>2016-01-29T01:40:59Z</cp:lastPrinted>
  <dcterms:created xsi:type="dcterms:W3CDTF">2015-12-10T23:54:31Z</dcterms:created>
  <dcterms:modified xsi:type="dcterms:W3CDTF">2016-02-01T15:40:39Z</dcterms:modified>
</cp:coreProperties>
</file>